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 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<sst xmlns="http://schemas.openxmlformats.org/spreadsheetml/2006/main" count="1219" uniqueCount="248">
  <si>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</si>
  <si>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</si>
  <si>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</si>
  <si>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</si>
  <si>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</si>
  <si>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</si>
  <si>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</si>
  <si>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</si>
  <si>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</si>
  <si>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</si>
  <si>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</si>
  <si>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</si>
  <si>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</si>
  <si>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</si>
  <si>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</si>
  <si>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</si>
  <si>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</si>
  <si>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</si>
  <si>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</si>
  <si>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</si>
  <si>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</si>
  <si>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</si>
  <si>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</si>
  <si>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</si>
  <si>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</si>
  <si>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</si>
  <si>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</si>
  <si>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</si>
  <si>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</si>
  <si>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</si>
  <si>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</si>
  <si>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</si>
  <si>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</si>
  <si>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</si>
  <si>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</si>
  <si>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</si>
  <si>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</si>
  <si>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</si>
  <si>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</si>
  <si>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</si>
  <si>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</si>
  <si>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</si>
  <si>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</si>
  <si>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</si>
  <si>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</si>
  <si>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</si>
  <si>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</si>
  <si>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</si>
  <si>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</si>
  <si>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</si>
  <si>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</si>
  <si>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</si>
  <si>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</si>
  <si>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</si>
  <si>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</si>
  <si>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</si>
  <si>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</si>
  <si>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</si>
  <si>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</si>
  <si>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</si>
  <si>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</si>
  <si>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</si>
  <si>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</si>
  <si>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</si>
  <si>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</si>
  <si>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</si>
  <si>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</si>
  <si>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</si>
  <si>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</si>
  <si>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</si>
  <si>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</si>
  <si>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</si>
  <si>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</si>
  <si>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</si>
  <si>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</si>
  <si>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</si>
  <si>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</si>
  <si>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</si>
  <si>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</si>
  <si>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</si>
  <si>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</si>
  <si>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</si>
  <si>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</si>
  <si>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</si>
  <si>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</si>
  <si>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</si>
  <si>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</si>
  <si>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</si>
  <si>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</si>
  <si>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</si>
  <si>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</si>
  <si>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</si>
  <si>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</si>
  <si>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</si>
  <si>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</si>
  <si>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</si>
  <si>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</si>
  <si>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</si>
  <si>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</si>
  <si>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</si>
  <si>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</si>
  <si>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</si>
  <si>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</si>
  <si>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</si>
  <si>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</si>
  <si>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</si>
  <si>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</si>
  <si>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</si>
  <si>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</si>
  <si>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</si>
  <si>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</si>
  <si>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</si>
  <si>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</si>
  <si>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</si>
  <si>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</si>
  <si>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</si>
  <si>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</si>
  <si>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</si>
  <si>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</si>
  <si>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</si>
  <si>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</si>
  <si>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</si>
  <si>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</si>
  <si>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</si>
  <si>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</si>
  <si>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</si>
  <si>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</si>
  <si>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</si>
  <si>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</si>
  <si>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</si>
  <si>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</si>
  <si>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</si>
  <si>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</si>
  <si>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</si>
  <si>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</si>
  <si>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</si>
  <si>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</si>
  <si>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</si>
  <si>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</si>
  <si>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</si>
  <si>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</si>
  <si>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</si>
  <si>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</si>
  <si>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</si>
  <si>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</si>
  <si>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</si>
  <si>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</si>
  <si>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</si>
  <si>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</si>
  <si>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</si>
  <si>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</si>
  <si>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</si>
  <si>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</si>
  <si>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</si>
  <si>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</si>
  <si>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</si>
  <si>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</si>
  <si>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</si>
  <si>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</si>
  <si>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</si>
  <si>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</si>
  <si>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</si>
  <si>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</si>
  <si>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</si>
  <si>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</si>
  <si>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</si>
  <si>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</si>
  <si>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</si>
  <si>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</si>
  <si>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</si>
  <si>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</si>
  <si>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</si>
  <si>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</si>
  <si>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</si>
  <si>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</si>
  <si>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</si>
  <si>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</si>
  <si>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</si>
  <si>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</si>
  <si>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</si>
  <si>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</si>
  <si>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</si>
  <si>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</si>
  <si>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</si>
  <si>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</si>
  <si>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</si>
  <si>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</si>
  <si>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</si>
  <si>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</si>
  <si>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</si>
  <si>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</si>
  <si>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</si>
  <si>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</si>
  <si>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</si>
  <si>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</si>
  <si>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</si>
  <si>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</si>
  <si>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</si>
  <si>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</si>
  <si>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</si>
  <si>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</si>
  <si>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</si>
  <si>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</si>
  <si>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</si>
  <si>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</si>
  <si>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</si>
  <si>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</si>
  <si>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</si>
  <si>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</si>
  <si>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</si>
  <si>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</si>
  <si>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</si>
  <si>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</si>
  <si>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</si>
  <si>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</si>
  <si>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</si>
  <si>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</si>
  <si>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</si>
  <si>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</si>
  <si>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</si>
  <si>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</si>
  <si>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</si>
  <si>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</si>
  <si>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</si>
  <si>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</si>
  <si>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</si>
  <si>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</si>
  <si>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</si>
  <si>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</si>
  <si>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</si>
  <si>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</si>
  <si>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</si>
  <si>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</si>
  <si>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</si>
  <si>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</si>
  <si>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</si>
  <si>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</si>
  <si>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</si>
  <si>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</si>
  <si>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</si>
  <si>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</si>
  <si>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</si>
  <si>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</si>
  <si>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</si>
  <si>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</si>
  <si>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</si>
  <si>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25.06.2014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</si>
  <si>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24.06.14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</si>
</sst>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4" fillId="0" borderId="11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2" xfId="22" applyNumberFormat="1" applyFont="1" applyFill="1" applyBorder="1" applyAlignment="1" applyProtection="1">
      <alignment horizontal="center" wrapText="1"/>
      <protection/>
    </xf>
    <xf numFmtId="9" fontId="4" fillId="0" borderId="11" xfId="22" applyFont="1" applyFill="1" applyBorder="1" applyAlignment="1" applyProtection="1">
      <alignment horizontal="center" vertic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1" xfId="22" applyFont="1" applyFill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2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2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6"/>
      <sheetName val="депозит"/>
      <sheetName val="залишки  (2)"/>
      <sheetName val="надх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пень"/>
    </sheetNames>
    <sheetDataSet>
      <sheetData sheetId="12">
        <row r="6">
          <cell r="G6">
            <v>119346942.94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105521720.97999999</v>
          </cell>
        </row>
      </sheetData>
      <sheetData sheetId="13">
        <row r="52">
          <cell r="B52">
            <v>26277361.33</v>
          </cell>
        </row>
      </sheetData>
      <sheetData sheetId="17">
        <row r="28">
          <cell r="C28">
            <v>4870376.3</v>
          </cell>
        </row>
      </sheetData>
      <sheetData sheetId="18">
        <row r="28">
          <cell r="C28">
            <v>3219411</v>
          </cell>
        </row>
      </sheetData>
      <sheetData sheetId="19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30" sqref="G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91" t="s">
        <v>246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197" t="s">
        <v>224</v>
      </c>
      <c r="E3" s="197"/>
      <c r="F3" s="198" t="s">
        <v>107</v>
      </c>
      <c r="G3" s="199"/>
      <c r="H3" s="199"/>
      <c r="I3" s="199"/>
      <c r="J3" s="199"/>
      <c r="K3" s="199"/>
      <c r="L3" s="200"/>
      <c r="M3" s="201" t="s">
        <v>225</v>
      </c>
      <c r="N3" s="203" t="s">
        <v>243</v>
      </c>
      <c r="O3" s="203"/>
      <c r="P3" s="203"/>
      <c r="Q3" s="203"/>
      <c r="R3" s="203"/>
    </row>
    <row r="4" spans="1:18" ht="22.5" customHeight="1">
      <c r="A4" s="193"/>
      <c r="B4" s="195"/>
      <c r="C4" s="196"/>
      <c r="D4" s="197"/>
      <c r="E4" s="197"/>
      <c r="F4" s="204" t="s">
        <v>116</v>
      </c>
      <c r="G4" s="185" t="s">
        <v>238</v>
      </c>
      <c r="H4" s="187" t="s">
        <v>239</v>
      </c>
      <c r="I4" s="183" t="s">
        <v>188</v>
      </c>
      <c r="J4" s="189" t="s">
        <v>189</v>
      </c>
      <c r="K4" s="178" t="s">
        <v>240</v>
      </c>
      <c r="L4" s="179"/>
      <c r="M4" s="202"/>
      <c r="N4" s="181" t="s">
        <v>247</v>
      </c>
      <c r="O4" s="183" t="s">
        <v>136</v>
      </c>
      <c r="P4" s="183" t="s">
        <v>135</v>
      </c>
      <c r="Q4" s="178" t="s">
        <v>242</v>
      </c>
      <c r="R4" s="179"/>
    </row>
    <row r="5" spans="1:18" ht="82.5" customHeight="1">
      <c r="A5" s="194"/>
      <c r="B5" s="195"/>
      <c r="C5" s="196"/>
      <c r="D5" s="150" t="s">
        <v>209</v>
      </c>
      <c r="E5" s="158" t="s">
        <v>237</v>
      </c>
      <c r="F5" s="205"/>
      <c r="G5" s="186"/>
      <c r="H5" s="188"/>
      <c r="I5" s="184"/>
      <c r="J5" s="190"/>
      <c r="K5" s="165"/>
      <c r="L5" s="166"/>
      <c r="M5" s="151" t="s">
        <v>241</v>
      </c>
      <c r="N5" s="182"/>
      <c r="O5" s="184"/>
      <c r="P5" s="184"/>
      <c r="Q5" s="165"/>
      <c r="R5" s="166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214094.07</v>
      </c>
      <c r="G8" s="22">
        <f aca="true" t="shared" si="0" ref="G8:G30">F8-E8</f>
        <v>-19172.459999999992</v>
      </c>
      <c r="H8" s="51">
        <f>F8/E8*100</f>
        <v>91.78087829402702</v>
      </c>
      <c r="I8" s="36">
        <f aca="true" t="shared" si="1" ref="I8:I17">F8-D8</f>
        <v>-274382.23</v>
      </c>
      <c r="J8" s="36">
        <f aca="true" t="shared" si="2" ref="J8:J14">F8/D8*100</f>
        <v>43.82895751544139</v>
      </c>
      <c r="K8" s="36">
        <f>F8-227938.8</f>
        <v>-13844.729999999981</v>
      </c>
      <c r="L8" s="136">
        <f>F8/227938.8</f>
        <v>0.9392611964264093</v>
      </c>
      <c r="M8" s="22">
        <f>M10+M19+M33+M56+M68+M30</f>
        <v>41595.47</v>
      </c>
      <c r="N8" s="22">
        <f>N10+N19+N33+N56+N68+N30</f>
        <v>29288.869999999995</v>
      </c>
      <c r="O8" s="36">
        <f aca="true" t="shared" si="3" ref="O8:O71">N8-M8</f>
        <v>-12306.600000000006</v>
      </c>
      <c r="P8" s="36">
        <f>F8/M8*100</f>
        <v>514.7052551636032</v>
      </c>
      <c r="Q8" s="36">
        <f>N8-40804</f>
        <v>-11515.130000000005</v>
      </c>
      <c r="R8" s="134">
        <f>N8/40804</f>
        <v>0.717794088814822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174685.83</v>
      </c>
      <c r="G9" s="22">
        <f t="shared" si="0"/>
        <v>174685.83</v>
      </c>
      <c r="H9" s="20"/>
      <c r="I9" s="56">
        <f t="shared" si="1"/>
        <v>-212327.37000000002</v>
      </c>
      <c r="J9" s="56">
        <f t="shared" si="2"/>
        <v>45.136917810555296</v>
      </c>
      <c r="K9" s="56"/>
      <c r="L9" s="135"/>
      <c r="M9" s="20">
        <f>M10+M17</f>
        <v>34434.5</v>
      </c>
      <c r="N9" s="20">
        <f>N10+N17</f>
        <v>25925.679999999993</v>
      </c>
      <c r="O9" s="36">
        <f t="shared" si="3"/>
        <v>-8508.820000000007</v>
      </c>
      <c r="P9" s="56">
        <f>F9/M9*100</f>
        <v>507.29887177104354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174685.83</v>
      </c>
      <c r="G10" s="49">
        <f t="shared" si="0"/>
        <v>-15860.470000000001</v>
      </c>
      <c r="H10" s="40">
        <f aca="true" t="shared" si="4" ref="H10:H17">F10/E10*100</f>
        <v>91.67631698962404</v>
      </c>
      <c r="I10" s="56">
        <f t="shared" si="1"/>
        <v>-212327.37000000002</v>
      </c>
      <c r="J10" s="56">
        <f t="shared" si="2"/>
        <v>45.136917810555296</v>
      </c>
      <c r="K10" s="141">
        <f>F10-179133.7</f>
        <v>-4447.870000000024</v>
      </c>
      <c r="L10" s="142">
        <f>F10/179133.7</f>
        <v>0.9751701103700754</v>
      </c>
      <c r="M10" s="40">
        <f>E10-травень!E10</f>
        <v>34434.5</v>
      </c>
      <c r="N10" s="40">
        <f>F10-травень!F10</f>
        <v>25925.679999999993</v>
      </c>
      <c r="O10" s="53">
        <f t="shared" si="3"/>
        <v>-8508.820000000007</v>
      </c>
      <c r="P10" s="56">
        <f aca="true" t="shared" si="5" ref="P10:P17">N10/M10*100</f>
        <v>75.28984013126369</v>
      </c>
      <c r="Q10" s="141">
        <f>N10-33294.7</f>
        <v>-7369.020000000004</v>
      </c>
      <c r="R10" s="142">
        <f>N10/33294.7</f>
        <v>0.7786728818700873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306.38</v>
      </c>
      <c r="G19" s="49">
        <f t="shared" si="0"/>
        <v>-716.22</v>
      </c>
      <c r="H19" s="40">
        <f aca="true" t="shared" si="6" ref="H19:H29">F19/E19*100</f>
        <v>29.96088402112263</v>
      </c>
      <c r="I19" s="56">
        <f aca="true" t="shared" si="7" ref="I19:I29">F19-D19</f>
        <v>-693.62</v>
      </c>
      <c r="J19" s="56">
        <f aca="true" t="shared" si="8" ref="J19:J29">F19/D19*100</f>
        <v>30.637999999999998</v>
      </c>
      <c r="K19" s="56">
        <f>F19-5620.4</f>
        <v>-5314.0199999999995</v>
      </c>
      <c r="L19" s="135">
        <f>F19/5620.4</f>
        <v>0.05451213436766067</v>
      </c>
      <c r="M19" s="40">
        <f>E19-травень!E19</f>
        <v>11</v>
      </c>
      <c r="N19" s="40">
        <f>F19-травень!F19</f>
        <v>-339</v>
      </c>
      <c r="O19" s="53">
        <f t="shared" si="3"/>
        <v>-350</v>
      </c>
      <c r="P19" s="56">
        <f aca="true" t="shared" si="9" ref="P19:P29">N19/M19*100</f>
        <v>-3081.8181818181815</v>
      </c>
      <c r="Q19" s="56">
        <f>N19-465.3</f>
        <v>-804.3</v>
      </c>
      <c r="R19" s="135">
        <f>N19/465.3</f>
        <v>-0.7285622179239201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816.66</v>
      </c>
      <c r="G29" s="49">
        <f t="shared" si="0"/>
        <v>54.059999999999945</v>
      </c>
      <c r="H29" s="40">
        <f t="shared" si="6"/>
        <v>107.08890637293469</v>
      </c>
      <c r="I29" s="56">
        <f t="shared" si="7"/>
        <v>-113.34000000000003</v>
      </c>
      <c r="J29" s="56">
        <f t="shared" si="8"/>
        <v>87.81290322580645</v>
      </c>
      <c r="K29" s="148">
        <f>F29-2001.3</f>
        <v>-1184.6399999999999</v>
      </c>
      <c r="L29" s="149">
        <f>F29/2001.3</f>
        <v>0.4080647579073602</v>
      </c>
      <c r="M29" s="40">
        <f>E29-травень!E29</f>
        <v>11</v>
      </c>
      <c r="N29" s="40">
        <f>F29-травень!F29</f>
        <v>11</v>
      </c>
      <c r="O29" s="148">
        <f t="shared" si="3"/>
        <v>0</v>
      </c>
      <c r="P29" s="145">
        <f t="shared" si="9"/>
        <v>100</v>
      </c>
      <c r="Q29" s="148">
        <f>N29-403.3</f>
        <v>-392.3</v>
      </c>
      <c r="R29" s="149">
        <f>N29/403.3</f>
        <v>0.02727498140342177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35838.79</v>
      </c>
      <c r="G33" s="49">
        <f aca="true" t="shared" si="14" ref="G33:G72">F33-E33</f>
        <v>-2442.4400000000023</v>
      </c>
      <c r="H33" s="40">
        <f aca="true" t="shared" si="15" ref="H33:H67">F33/E33*100</f>
        <v>93.61974523807098</v>
      </c>
      <c r="I33" s="56">
        <f>F33-D33</f>
        <v>-57727.21</v>
      </c>
      <c r="J33" s="56">
        <f aca="true" t="shared" si="16" ref="J33:J72">F33/D33*100</f>
        <v>38.3032191180557</v>
      </c>
      <c r="K33" s="141">
        <f>F33-39969.9</f>
        <v>-4131.110000000001</v>
      </c>
      <c r="L33" s="142">
        <f>F33/39969.9</f>
        <v>0.896644474967413</v>
      </c>
      <c r="M33" s="40">
        <f>E33-травень!E33</f>
        <v>6540.770000000004</v>
      </c>
      <c r="N33" s="40">
        <f>F33-травень!F33</f>
        <v>3134.2800000000025</v>
      </c>
      <c r="O33" s="53">
        <f t="shared" si="3"/>
        <v>-3406.4900000000016</v>
      </c>
      <c r="P33" s="56">
        <f aca="true" t="shared" si="17" ref="P33:P67">N33/M33*100</f>
        <v>47.91912878758924</v>
      </c>
      <c r="Q33" s="141">
        <f>N33-6504.1</f>
        <v>-3369.819999999998</v>
      </c>
      <c r="R33" s="142">
        <f>N33/6504.1</f>
        <v>0.4818929598253413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27036.11</v>
      </c>
      <c r="G55" s="144">
        <f t="shared" si="14"/>
        <v>-1294.8199999999997</v>
      </c>
      <c r="H55" s="146">
        <f t="shared" si="15"/>
        <v>95.42965938640207</v>
      </c>
      <c r="I55" s="145">
        <f t="shared" si="18"/>
        <v>-43229.89</v>
      </c>
      <c r="J55" s="145">
        <f t="shared" si="16"/>
        <v>38.476802436455756</v>
      </c>
      <c r="K55" s="148">
        <f>F55-28815.15</f>
        <v>-1779.0400000000009</v>
      </c>
      <c r="L55" s="149">
        <f>F55/28815.15</f>
        <v>0.9382602554558973</v>
      </c>
      <c r="M55" s="40">
        <f>E55-травень!E55</f>
        <v>4780.77</v>
      </c>
      <c r="N55" s="40">
        <f>F55-травень!F55</f>
        <v>2497.9300000000003</v>
      </c>
      <c r="O55" s="148">
        <f t="shared" si="3"/>
        <v>-2282.84</v>
      </c>
      <c r="P55" s="148">
        <f t="shared" si="17"/>
        <v>52.249533025014806</v>
      </c>
      <c r="Q55" s="163">
        <f>N55-4583</f>
        <v>-2085.0699999999997</v>
      </c>
      <c r="R55" s="164">
        <f>N55/4583</f>
        <v>0.5450425485489855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0.36+3258.87</f>
        <v>3259.23</v>
      </c>
      <c r="G56" s="49">
        <f t="shared" si="14"/>
        <v>-139.07000000000016</v>
      </c>
      <c r="H56" s="40">
        <f t="shared" si="15"/>
        <v>95.90765971220904</v>
      </c>
      <c r="I56" s="56">
        <f t="shared" si="18"/>
        <v>-3600.77</v>
      </c>
      <c r="J56" s="56">
        <f t="shared" si="16"/>
        <v>47.51064139941691</v>
      </c>
      <c r="K56" s="56">
        <f>F56-3189.3</f>
        <v>69.92999999999984</v>
      </c>
      <c r="L56" s="135">
        <f>F56/3189.3</f>
        <v>1.0219264415388956</v>
      </c>
      <c r="M56" s="40">
        <f>E56-травень!E56</f>
        <v>609.2000000000003</v>
      </c>
      <c r="N56" s="40">
        <f>F56-травень!F56</f>
        <v>567.9099999999999</v>
      </c>
      <c r="O56" s="53">
        <f t="shared" si="3"/>
        <v>-41.29000000000042</v>
      </c>
      <c r="P56" s="56">
        <f t="shared" si="17"/>
        <v>93.22225869993429</v>
      </c>
      <c r="Q56" s="56">
        <f>N56-539.8</f>
        <v>28.1099999999999</v>
      </c>
      <c r="R56" s="135">
        <f>N56/539.8</f>
        <v>1.0520748425342719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F68-0.4</f>
        <v>0.53</v>
      </c>
      <c r="L68" s="135"/>
      <c r="M68" s="40">
        <f>E68-травень!E68</f>
        <v>0</v>
      </c>
      <c r="N68" s="40">
        <f>F68-травень!F68</f>
        <v>0</v>
      </c>
      <c r="O68" s="53">
        <f t="shared" si="3"/>
        <v>0</v>
      </c>
      <c r="P68" s="56"/>
      <c r="Q68" s="56">
        <f>N68-0.1</f>
        <v>-0.1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7428.5</v>
      </c>
      <c r="F74" s="22">
        <f>F77+F86+F88+F89+F94+F95+F96+F97+F99+F103+F87</f>
        <v>6299.449999999998</v>
      </c>
      <c r="G74" s="50">
        <f aca="true" t="shared" si="24" ref="G74:G92">F74-E74</f>
        <v>-1129.050000000002</v>
      </c>
      <c r="H74" s="51">
        <f aca="true" t="shared" si="25" ref="H74:H87">F74/E74*100</f>
        <v>84.80110385676782</v>
      </c>
      <c r="I74" s="36">
        <f aca="true" t="shared" si="26" ref="I74:I92">F74-D74</f>
        <v>-12058.850000000002</v>
      </c>
      <c r="J74" s="36">
        <f aca="true" t="shared" si="27" ref="J74:J92">F74/D74*100</f>
        <v>34.313907061111315</v>
      </c>
      <c r="K74" s="36">
        <f>F74-9149.2</f>
        <v>-2849.7500000000027</v>
      </c>
      <c r="L74" s="136">
        <f>F74/9149.2</f>
        <v>0.6885246797534208</v>
      </c>
      <c r="M74" s="22">
        <f>M77+M86+M88+M89+M94+M95+M96+M97+M99+M87+M103</f>
        <v>1500.5</v>
      </c>
      <c r="N74" s="22">
        <f>N77+N86+N88+N89+N94+N95+N96+N97+N99+N32+N103+N87</f>
        <v>951.1599999999999</v>
      </c>
      <c r="O74" s="55">
        <f aca="true" t="shared" si="28" ref="O74:O92">N74-M74</f>
        <v>-549.3400000000001</v>
      </c>
      <c r="P74" s="36">
        <f>N74/M74*100</f>
        <v>63.389536821059636</v>
      </c>
      <c r="Q74" s="36">
        <f>N74-1610.7</f>
        <v>-659.5400000000002</v>
      </c>
      <c r="R74" s="136">
        <f>N74/1610.7</f>
        <v>0.5905258583224684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58.52</v>
      </c>
      <c r="G89" s="49">
        <f t="shared" si="24"/>
        <v>-25.479999999999997</v>
      </c>
      <c r="H89" s="40">
        <f>F89/E89*100</f>
        <v>69.66666666666667</v>
      </c>
      <c r="I89" s="56">
        <f t="shared" si="26"/>
        <v>-116.47999999999999</v>
      </c>
      <c r="J89" s="56">
        <f t="shared" si="27"/>
        <v>33.440000000000005</v>
      </c>
      <c r="K89" s="56">
        <f>F89-81.2</f>
        <v>-22.68</v>
      </c>
      <c r="L89" s="135">
        <f>F89/81.2</f>
        <v>0.7206896551724138</v>
      </c>
      <c r="M89" s="40">
        <f>E89-травень!E89</f>
        <v>15</v>
      </c>
      <c r="N89" s="40">
        <f>F89-травень!F89</f>
        <v>11.43</v>
      </c>
      <c r="O89" s="53">
        <f t="shared" si="28"/>
        <v>-3.5700000000000003</v>
      </c>
      <c r="P89" s="56">
        <f>N89/M89*100</f>
        <v>76.2</v>
      </c>
      <c r="Q89" s="56">
        <f>N89-7.8</f>
        <v>3.63</v>
      </c>
      <c r="R89" s="135">
        <f>N89/7.8</f>
        <v>1.4653846153846153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397.17</v>
      </c>
      <c r="G96" s="49">
        <f t="shared" si="31"/>
        <v>-77.32999999999998</v>
      </c>
      <c r="H96" s="40">
        <f>F96/E96*100</f>
        <v>83.70284510010538</v>
      </c>
      <c r="I96" s="56">
        <f t="shared" si="32"/>
        <v>-802.8299999999999</v>
      </c>
      <c r="J96" s="56">
        <f>F96/D96*100</f>
        <v>33.097500000000004</v>
      </c>
      <c r="K96" s="56">
        <f>F96-463.2</f>
        <v>-66.02999999999997</v>
      </c>
      <c r="L96" s="135">
        <f>F96/463.2</f>
        <v>0.8574481865284974</v>
      </c>
      <c r="M96" s="40">
        <f>E96-травень!E96</f>
        <v>100</v>
      </c>
      <c r="N96" s="40">
        <f>F96-травень!F96</f>
        <v>46.19</v>
      </c>
      <c r="O96" s="53">
        <f t="shared" si="33"/>
        <v>-53.81</v>
      </c>
      <c r="P96" s="56">
        <f>N96/M96*100</f>
        <v>46.19</v>
      </c>
      <c r="Q96" s="56">
        <f>N96-89.2</f>
        <v>-43.010000000000005</v>
      </c>
      <c r="R96" s="135">
        <f>N96/89.2</f>
        <v>0.5178251121076233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1.36+1951.82</f>
        <v>1953.1799999999998</v>
      </c>
      <c r="G99" s="49">
        <f t="shared" si="31"/>
        <v>116.17999999999984</v>
      </c>
      <c r="H99" s="40">
        <f>F99/E99*100</f>
        <v>106.32444202504081</v>
      </c>
      <c r="I99" s="56">
        <f t="shared" si="32"/>
        <v>-2619.52</v>
      </c>
      <c r="J99" s="56">
        <f>F99/D99*100</f>
        <v>42.71393268747129</v>
      </c>
      <c r="K99" s="56">
        <f>F99-1991.7</f>
        <v>-38.52000000000021</v>
      </c>
      <c r="L99" s="135">
        <f>F99/1991.7</f>
        <v>0.9806597379123361</v>
      </c>
      <c r="M99" s="40">
        <f>E99-травень!E99</f>
        <v>330</v>
      </c>
      <c r="N99" s="40">
        <f>F99-травень!F99</f>
        <v>303.2499999999998</v>
      </c>
      <c r="O99" s="53">
        <f t="shared" si="33"/>
        <v>-26.750000000000227</v>
      </c>
      <c r="P99" s="56">
        <f>N99/M99*100</f>
        <v>91.89393939393933</v>
      </c>
      <c r="Q99" s="56">
        <f>N99-325.9</f>
        <v>-22.650000000000205</v>
      </c>
      <c r="R99" s="135">
        <f>N99/325.9</f>
        <v>0.9305001534212942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358.6</v>
      </c>
      <c r="G102" s="144"/>
      <c r="H102" s="146"/>
      <c r="I102" s="145"/>
      <c r="J102" s="145"/>
      <c r="K102" s="148">
        <f>F102-244.8</f>
        <v>113.80000000000001</v>
      </c>
      <c r="L102" s="149">
        <f>F102/244.8</f>
        <v>1.4648692810457518</v>
      </c>
      <c r="M102" s="40">
        <f>E102-травень!E102</f>
        <v>0</v>
      </c>
      <c r="N102" s="40">
        <f>F102-травень!F102</f>
        <v>67.40000000000003</v>
      </c>
      <c r="O102" s="53"/>
      <c r="P102" s="60"/>
      <c r="Q102" s="60">
        <f>N102-60.1</f>
        <v>7.300000000000033</v>
      </c>
      <c r="R102" s="138">
        <f>N102/60.1</f>
        <v>1.121464226289518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-53.64</v>
      </c>
      <c r="K103" s="56">
        <f>F103-59.1</f>
        <v>-45.82</v>
      </c>
      <c r="L103" s="135">
        <f>F103/59.1</f>
        <v>0.22470389170896785</v>
      </c>
      <c r="M103" s="40">
        <f>E103-травень!E103</f>
        <v>0</v>
      </c>
      <c r="N103" s="40">
        <f>F103-травень!F103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15.2</v>
      </c>
      <c r="F104" s="57">
        <v>11.86</v>
      </c>
      <c r="G104" s="49">
        <f>F104-E104</f>
        <v>-3.34</v>
      </c>
      <c r="H104" s="40">
        <f>F104/E104*100</f>
        <v>78.02631578947368</v>
      </c>
      <c r="I104" s="56">
        <f t="shared" si="34"/>
        <v>-33.14</v>
      </c>
      <c r="J104" s="56">
        <f aca="true" t="shared" si="36" ref="J104:J109">F104/D104*100</f>
        <v>26.355555555555554</v>
      </c>
      <c r="K104" s="56">
        <f>F104-13.4</f>
        <v>-1.540000000000001</v>
      </c>
      <c r="L104" s="135">
        <f>F104/13.4</f>
        <v>0.8850746268656716</v>
      </c>
      <c r="M104" s="40">
        <f>E104-травень!E104</f>
        <v>3</v>
      </c>
      <c r="N104" s="40">
        <f>F104-травень!F104</f>
        <v>0.1899999999999995</v>
      </c>
      <c r="O104" s="53">
        <f t="shared" si="35"/>
        <v>-2.8100000000000005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0.08</v>
      </c>
      <c r="G105" s="49"/>
      <c r="H105" s="40"/>
      <c r="I105" s="56"/>
      <c r="J105" s="56"/>
      <c r="K105" s="56"/>
      <c r="L105" s="135"/>
      <c r="M105" s="40">
        <f>E105-травень!E105</f>
        <v>0</v>
      </c>
      <c r="N105" s="40">
        <f>F105-травень!F105</f>
        <v>0.04</v>
      </c>
      <c r="O105" s="53">
        <f t="shared" si="35"/>
        <v>0.04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240710.23</v>
      </c>
      <c r="F106" s="22">
        <f>F8+F74+F104+F105</f>
        <v>220405.46</v>
      </c>
      <c r="G106" s="50">
        <f>F106-E106</f>
        <v>-20304.77000000002</v>
      </c>
      <c r="H106" s="51">
        <f>F106/E106*100</f>
        <v>91.56464185174016</v>
      </c>
      <c r="I106" s="36">
        <f t="shared" si="34"/>
        <v>-286474.14</v>
      </c>
      <c r="J106" s="36">
        <f t="shared" si="36"/>
        <v>43.482803411303195</v>
      </c>
      <c r="K106" s="36">
        <f>F106-237104</f>
        <v>-16698.540000000008</v>
      </c>
      <c r="L106" s="136">
        <f>F106/237104</f>
        <v>0.9295729300222687</v>
      </c>
      <c r="M106" s="22">
        <f>M8+M74+M104+M105</f>
        <v>43098.97</v>
      </c>
      <c r="N106" s="22">
        <f>N8+N74+N104+N105</f>
        <v>30240.259999999995</v>
      </c>
      <c r="O106" s="55">
        <f t="shared" si="35"/>
        <v>-12858.710000000006</v>
      </c>
      <c r="P106" s="36">
        <f>N106/M106*100</f>
        <v>70.16469303094713</v>
      </c>
      <c r="Q106" s="36">
        <f>N106-42414.8</f>
        <v>-12174.540000000008</v>
      </c>
      <c r="R106" s="136">
        <f>N106/42414.8</f>
        <v>0.7129648141686391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191020.8</v>
      </c>
      <c r="F107" s="71">
        <f>F10-F18+F96</f>
        <v>175083</v>
      </c>
      <c r="G107" s="71">
        <f>G10-G18+G96</f>
        <v>-15937.800000000001</v>
      </c>
      <c r="H107" s="72">
        <f>F107/E107*100</f>
        <v>91.65651070459343</v>
      </c>
      <c r="I107" s="52">
        <f t="shared" si="34"/>
        <v>-213130.2</v>
      </c>
      <c r="J107" s="52">
        <f t="shared" si="36"/>
        <v>45.09970294673133</v>
      </c>
      <c r="K107" s="52">
        <f>F107-179685.8</f>
        <v>-4602.799999999988</v>
      </c>
      <c r="L107" s="137">
        <f>F107/179685.8</f>
        <v>0.9743841750433256</v>
      </c>
      <c r="M107" s="71">
        <f>M10-M18+M96</f>
        <v>34534.5</v>
      </c>
      <c r="N107" s="71">
        <f>N10-N18+N96</f>
        <v>25971.86999999999</v>
      </c>
      <c r="O107" s="53">
        <f t="shared" si="35"/>
        <v>-8562.630000000008</v>
      </c>
      <c r="P107" s="52">
        <f>N107/M107*100</f>
        <v>75.20557703166396</v>
      </c>
      <c r="Q107" s="52">
        <f>N107-33396.9</f>
        <v>-7425.03000000001</v>
      </c>
      <c r="R107" s="137">
        <f>N107/33396.9</f>
        <v>0.7776730774413191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49689.43000000002</v>
      </c>
      <c r="F108" s="71">
        <f>F106-F107</f>
        <v>45322.45999999999</v>
      </c>
      <c r="G108" s="62">
        <f>F108-E108</f>
        <v>-4366.97000000003</v>
      </c>
      <c r="H108" s="72">
        <f>F108/E108*100</f>
        <v>91.21147093053789</v>
      </c>
      <c r="I108" s="52">
        <f t="shared" si="34"/>
        <v>-73343.93999999997</v>
      </c>
      <c r="J108" s="52">
        <f t="shared" si="36"/>
        <v>38.19317009701146</v>
      </c>
      <c r="K108" s="52">
        <f>F108-57418.1</f>
        <v>-12095.640000000007</v>
      </c>
      <c r="L108" s="137">
        <f>F108/57418.1</f>
        <v>0.7893409917778539</v>
      </c>
      <c r="M108" s="71">
        <f>M106-M107</f>
        <v>8564.470000000001</v>
      </c>
      <c r="N108" s="71">
        <f>N106-N107</f>
        <v>4268.390000000003</v>
      </c>
      <c r="O108" s="53">
        <f t="shared" si="35"/>
        <v>-4296.079999999998</v>
      </c>
      <c r="P108" s="52">
        <f>N108/M108*100</f>
        <v>49.83834376207754</v>
      </c>
      <c r="Q108" s="52">
        <f>N108-9017.9</f>
        <v>-4749.509999999997</v>
      </c>
      <c r="R108" s="137">
        <f>N108/9017.9</f>
        <v>0.47332416638019975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185650.9</v>
      </c>
      <c r="F109" s="71">
        <f>F107</f>
        <v>175083</v>
      </c>
      <c r="G109" s="111">
        <f>F109-E109</f>
        <v>-10567.899999999994</v>
      </c>
      <c r="H109" s="72">
        <f>F109/E109*100</f>
        <v>94.30764946466729</v>
      </c>
      <c r="I109" s="81">
        <f t="shared" si="34"/>
        <v>-213130.2</v>
      </c>
      <c r="J109" s="52">
        <f t="shared" si="36"/>
        <v>45.09970294673133</v>
      </c>
      <c r="K109" s="52"/>
      <c r="L109" s="137"/>
      <c r="M109" s="72">
        <f>E109-травень!E109</f>
        <v>34534.5</v>
      </c>
      <c r="N109" s="71">
        <f>N107</f>
        <v>25971.86999999999</v>
      </c>
      <c r="O109" s="118">
        <f t="shared" si="35"/>
        <v>-8562.630000000008</v>
      </c>
      <c r="P109" s="52">
        <f>N109/M109*100</f>
        <v>75.20557703166396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245</v>
      </c>
      <c r="C111" s="93"/>
      <c r="D111" s="84"/>
      <c r="E111" s="111">
        <f>0-травень!G109</f>
        <v>2005.2699999999895</v>
      </c>
      <c r="F111" s="84">
        <v>0</v>
      </c>
      <c r="G111" s="62">
        <f>F111-E111</f>
        <v>-2005.2699999999895</v>
      </c>
      <c r="H111" s="72"/>
      <c r="I111" s="85"/>
      <c r="J111" s="52"/>
      <c r="K111" s="52"/>
      <c r="L111" s="137"/>
      <c r="M111" s="159">
        <f>E111</f>
        <v>2005.2699999999895</v>
      </c>
      <c r="N111" s="84">
        <v>0</v>
      </c>
      <c r="O111" s="118">
        <f>N111-M111</f>
        <v>-2005.2699999999895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F113-7.8</f>
        <v>-8.94</v>
      </c>
      <c r="L113" s="138">
        <f>F113/7.8</f>
        <v>-0.14615384615384613</v>
      </c>
      <c r="M113" s="40">
        <f>E113-травень!E113</f>
        <v>0</v>
      </c>
      <c r="N113" s="40">
        <f>F113-травень!F113</f>
        <v>0</v>
      </c>
      <c r="O113" s="53"/>
      <c r="P113" s="60"/>
      <c r="Q113" s="60">
        <f>N113-1.1</f>
        <v>-1.1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1697.1</v>
      </c>
      <c r="F114" s="32">
        <v>574.37</v>
      </c>
      <c r="G114" s="49">
        <f t="shared" si="37"/>
        <v>-1122.73</v>
      </c>
      <c r="H114" s="40">
        <f aca="true" t="shared" si="39" ref="H114:H125">F114/E114*100</f>
        <v>33.84420481998704</v>
      </c>
      <c r="I114" s="60">
        <f t="shared" si="38"/>
        <v>-3097.13</v>
      </c>
      <c r="J114" s="60">
        <f aca="true" t="shared" si="40" ref="J114:J120">F114/D114*100</f>
        <v>15.64401470788506</v>
      </c>
      <c r="K114" s="60">
        <f>F114-1891.5</f>
        <v>-1317.13</v>
      </c>
      <c r="L114" s="138">
        <f>F114/1891.5</f>
        <v>0.30365847211208036</v>
      </c>
      <c r="M114" s="40">
        <f>E114-травень!E114</f>
        <v>327.5</v>
      </c>
      <c r="N114" s="40">
        <f>F114-травень!F114</f>
        <v>74.61000000000001</v>
      </c>
      <c r="O114" s="53">
        <f aca="true" t="shared" si="41" ref="O114:O125">N114-M114</f>
        <v>-252.89</v>
      </c>
      <c r="P114" s="60">
        <f>N114/M114*100</f>
        <v>22.78167938931298</v>
      </c>
      <c r="Q114" s="60">
        <f>N114-276.6</f>
        <v>-201.99</v>
      </c>
      <c r="R114" s="138">
        <f>N114/276.6</f>
        <v>0.26973969631236444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134.5</v>
      </c>
      <c r="F115" s="32">
        <v>165.46</v>
      </c>
      <c r="G115" s="49">
        <f t="shared" si="37"/>
        <v>30.960000000000008</v>
      </c>
      <c r="H115" s="40">
        <f t="shared" si="39"/>
        <v>123.01858736059481</v>
      </c>
      <c r="I115" s="60">
        <f t="shared" si="38"/>
        <v>-102.64000000000001</v>
      </c>
      <c r="J115" s="60">
        <f t="shared" si="40"/>
        <v>61.715777694889965</v>
      </c>
      <c r="K115" s="60">
        <f>F115-131.2</f>
        <v>34.26000000000002</v>
      </c>
      <c r="L115" s="138">
        <f>F115/131.2</f>
        <v>1.261128048780488</v>
      </c>
      <c r="M115" s="40">
        <f>E115-травень!E115</f>
        <v>22</v>
      </c>
      <c r="N115" s="40">
        <f>F115-травень!F115</f>
        <v>45.92</v>
      </c>
      <c r="O115" s="53">
        <f t="shared" si="41"/>
        <v>23.92</v>
      </c>
      <c r="P115" s="60">
        <f>N115/M115*100</f>
        <v>208.72727272727275</v>
      </c>
      <c r="Q115" s="60">
        <f>N115-25.8</f>
        <v>20.12</v>
      </c>
      <c r="R115" s="138">
        <f>N115/25.8</f>
        <v>1.77984496124031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1831.6</v>
      </c>
      <c r="F116" s="38">
        <f>SUM(F113:F115)</f>
        <v>738.69</v>
      </c>
      <c r="G116" s="62">
        <f t="shared" si="37"/>
        <v>-1092.9099999999999</v>
      </c>
      <c r="H116" s="72">
        <f t="shared" si="39"/>
        <v>40.33031229526098</v>
      </c>
      <c r="I116" s="61">
        <f t="shared" si="38"/>
        <v>-3200.91</v>
      </c>
      <c r="J116" s="61">
        <f t="shared" si="40"/>
        <v>18.75038074931465</v>
      </c>
      <c r="K116" s="61">
        <f>F116-2030.5</f>
        <v>-1291.81</v>
      </c>
      <c r="L116" s="139">
        <f>F116/2030.5</f>
        <v>0.3637970943117459</v>
      </c>
      <c r="M116" s="62">
        <f>M114+M115+M113</f>
        <v>349.5</v>
      </c>
      <c r="N116" s="38">
        <f>SUM(N113:N115)</f>
        <v>120.53000000000002</v>
      </c>
      <c r="O116" s="61">
        <f t="shared" si="41"/>
        <v>-228.96999999999997</v>
      </c>
      <c r="P116" s="61">
        <f>N116/M116*100</f>
        <v>34.48640915593706</v>
      </c>
      <c r="Q116" s="61">
        <f>N116-303.5</f>
        <v>-182.96999999999997</v>
      </c>
      <c r="R116" s="139">
        <f>N116/303.5</f>
        <v>0.39713344316309723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109.5</v>
      </c>
      <c r="F118" s="33">
        <v>136.28</v>
      </c>
      <c r="G118" s="49">
        <f t="shared" si="37"/>
        <v>26.78</v>
      </c>
      <c r="H118" s="40">
        <f t="shared" si="39"/>
        <v>124.4566210045662</v>
      </c>
      <c r="I118" s="60">
        <f t="shared" si="38"/>
        <v>-130.92</v>
      </c>
      <c r="J118" s="60">
        <f t="shared" si="40"/>
        <v>51.00299401197606</v>
      </c>
      <c r="K118" s="60">
        <f>F118-95.9</f>
        <v>40.379999999999995</v>
      </c>
      <c r="L118" s="138">
        <f>F118/95.9</f>
        <v>1.4210636079249217</v>
      </c>
      <c r="M118" s="40">
        <f>E118-травень!E118</f>
        <v>3</v>
      </c>
      <c r="N118" s="40">
        <f>F118-травень!F118</f>
        <v>6.530000000000001</v>
      </c>
      <c r="O118" s="53">
        <f>N118-M118</f>
        <v>3.530000000000001</v>
      </c>
      <c r="P118" s="60">
        <f>N118/M118*100</f>
        <v>217.6666666666667</v>
      </c>
      <c r="Q118" s="60">
        <f>N118-7.4</f>
        <v>-0.8699999999999992</v>
      </c>
      <c r="R118" s="138">
        <f>N118/7.4</f>
        <v>0.8824324324324325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34212.6</v>
      </c>
      <c r="F119" s="33">
        <v>37827.84</v>
      </c>
      <c r="G119" s="49">
        <f t="shared" si="37"/>
        <v>3615.239999999998</v>
      </c>
      <c r="H119" s="40">
        <f t="shared" si="39"/>
        <v>110.56698409357955</v>
      </c>
      <c r="I119" s="53">
        <f t="shared" si="38"/>
        <v>-34148.15000000001</v>
      </c>
      <c r="J119" s="60">
        <f t="shared" si="40"/>
        <v>52.55619269703688</v>
      </c>
      <c r="K119" s="60">
        <f>F119-32510.8</f>
        <v>5317.039999999997</v>
      </c>
      <c r="L119" s="138">
        <f>F119/32510.8</f>
        <v>1.1635468828819961</v>
      </c>
      <c r="M119" s="40">
        <f>E119-травень!E119</f>
        <v>2600</v>
      </c>
      <c r="N119" s="40">
        <f>F119-травень!F119</f>
        <v>2653.6199999999953</v>
      </c>
      <c r="O119" s="53">
        <f t="shared" si="41"/>
        <v>53.61999999999534</v>
      </c>
      <c r="P119" s="60">
        <f aca="true" t="shared" si="42" ref="P119:P124">N119/M119*100</f>
        <v>102.06230769230751</v>
      </c>
      <c r="Q119" s="60">
        <v>2488.2</v>
      </c>
      <c r="R119" s="138">
        <f>N119/2488.2</f>
        <v>1.0664817940679991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1667</v>
      </c>
      <c r="F120" s="33">
        <v>1658.93</v>
      </c>
      <c r="G120" s="49">
        <f t="shared" si="37"/>
        <v>-8.069999999999936</v>
      </c>
      <c r="H120" s="40">
        <f t="shared" si="39"/>
        <v>99.51589682063587</v>
      </c>
      <c r="I120" s="60">
        <f t="shared" si="38"/>
        <v>-8341.07</v>
      </c>
      <c r="J120" s="60">
        <f t="shared" si="40"/>
        <v>16.5893</v>
      </c>
      <c r="K120" s="60">
        <f>F120-624.6</f>
        <v>1034.33</v>
      </c>
      <c r="L120" s="138">
        <f>F120/624.6</f>
        <v>2.6559878322126163</v>
      </c>
      <c r="M120" s="40">
        <f>E120-травень!E120</f>
        <v>19</v>
      </c>
      <c r="N120" s="40">
        <f>F120-травень!F120</f>
        <v>47</v>
      </c>
      <c r="O120" s="53">
        <f t="shared" si="41"/>
        <v>28</v>
      </c>
      <c r="P120" s="60">
        <f t="shared" si="42"/>
        <v>247.3684210526316</v>
      </c>
      <c r="Q120" s="60">
        <f>N120-188.5</f>
        <v>-141.5</v>
      </c>
      <c r="R120" s="138">
        <f>N120/188.5</f>
        <v>0.2493368700265252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4822.6</v>
      </c>
      <c r="F121" s="33">
        <v>2099.7</v>
      </c>
      <c r="G121" s="49">
        <f t="shared" si="37"/>
        <v>-2722.9000000000005</v>
      </c>
      <c r="H121" s="40">
        <f t="shared" si="39"/>
        <v>43.538755028407905</v>
      </c>
      <c r="I121" s="60">
        <f t="shared" si="38"/>
        <v>-20978.3</v>
      </c>
      <c r="J121" s="60">
        <f>F121/D121*100</f>
        <v>9.09827541381402</v>
      </c>
      <c r="K121" s="60">
        <f>F121-13847.9</f>
        <v>-11748.2</v>
      </c>
      <c r="L121" s="138">
        <f>F121/13847.9</f>
        <v>0.15162587829201538</v>
      </c>
      <c r="M121" s="40">
        <f>E121-травень!E121</f>
        <v>1767.2000000000003</v>
      </c>
      <c r="N121" s="40">
        <f>F121-травень!F121</f>
        <v>28.949999999999818</v>
      </c>
      <c r="O121" s="53">
        <f t="shared" si="41"/>
        <v>-1738.2500000000005</v>
      </c>
      <c r="P121" s="60">
        <f t="shared" si="42"/>
        <v>1.6381846989587945</v>
      </c>
      <c r="Q121" s="60">
        <f>N121-6379.2</f>
        <v>-6350.25</v>
      </c>
      <c r="R121" s="138">
        <f>N121/6379.2</f>
        <v>0.004538186606471002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862.45</v>
      </c>
      <c r="F122" s="33">
        <v>703.1</v>
      </c>
      <c r="G122" s="49">
        <f t="shared" si="37"/>
        <v>-159.35000000000002</v>
      </c>
      <c r="H122" s="40">
        <f t="shared" si="39"/>
        <v>81.52356658357006</v>
      </c>
      <c r="I122" s="60">
        <f t="shared" si="38"/>
        <v>-1296.9</v>
      </c>
      <c r="J122" s="60">
        <f>F122/D122*100</f>
        <v>35.155</v>
      </c>
      <c r="K122" s="60">
        <f>F122-1200</f>
        <v>-496.9</v>
      </c>
      <c r="L122" s="138">
        <f>F122/1200</f>
        <v>0.5859166666666666</v>
      </c>
      <c r="M122" s="40">
        <f>E122-травень!E122</f>
        <v>189.59000000000003</v>
      </c>
      <c r="N122" s="40">
        <f>F122-травень!F122</f>
        <v>2.310000000000059</v>
      </c>
      <c r="O122" s="53">
        <f t="shared" si="41"/>
        <v>-187.27999999999997</v>
      </c>
      <c r="P122" s="60">
        <f t="shared" si="42"/>
        <v>1.2184186929690695</v>
      </c>
      <c r="Q122" s="60">
        <f>N122-0</f>
        <v>2.310000000000059</v>
      </c>
      <c r="R122" s="138" t="e">
        <f>N122/0</f>
        <v>#DIV/0!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41674.149999999994</v>
      </c>
      <c r="F123" s="38">
        <f>F119+F120+F121+F122+F118</f>
        <v>42425.84999999999</v>
      </c>
      <c r="G123" s="62">
        <f t="shared" si="37"/>
        <v>751.6999999999971</v>
      </c>
      <c r="H123" s="72">
        <f t="shared" si="39"/>
        <v>101.80375604541423</v>
      </c>
      <c r="I123" s="61">
        <f t="shared" si="38"/>
        <v>-64895.34000000001</v>
      </c>
      <c r="J123" s="61">
        <f>F123/D123*100</f>
        <v>39.53166192063281</v>
      </c>
      <c r="K123" s="61">
        <f>F123-48279.1</f>
        <v>-5853.250000000007</v>
      </c>
      <c r="L123" s="139">
        <f>F123/48279.1</f>
        <v>0.878762238732702</v>
      </c>
      <c r="M123" s="62">
        <f>M119+M120+M121+M122+M118</f>
        <v>4578.790000000001</v>
      </c>
      <c r="N123" s="62">
        <f>N119+N120+N121+N122+N118</f>
        <v>2738.4099999999953</v>
      </c>
      <c r="O123" s="61">
        <f t="shared" si="41"/>
        <v>-1840.3800000000056</v>
      </c>
      <c r="P123" s="61">
        <f t="shared" si="42"/>
        <v>59.80641173759869</v>
      </c>
      <c r="Q123" s="61">
        <f>N123-9063.3</f>
        <v>-6324.890000000004</v>
      </c>
      <c r="R123" s="139">
        <f>N123/9063.3</f>
        <v>0.30214270740238053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17.16</v>
      </c>
      <c r="F124" s="33">
        <v>12.7</v>
      </c>
      <c r="G124" s="49">
        <f t="shared" si="37"/>
        <v>-4.460000000000001</v>
      </c>
      <c r="H124" s="40">
        <f t="shared" si="39"/>
        <v>74.009324009324</v>
      </c>
      <c r="I124" s="60">
        <f t="shared" si="38"/>
        <v>-30.8</v>
      </c>
      <c r="J124" s="60">
        <f>F124/D124*100</f>
        <v>29.195402298850574</v>
      </c>
      <c r="K124" s="60">
        <f>F124-100.8</f>
        <v>-88.1</v>
      </c>
      <c r="L124" s="138">
        <f>F124/100.8</f>
        <v>0.1259920634920635</v>
      </c>
      <c r="M124" s="40">
        <f>E124-травень!E124</f>
        <v>3</v>
      </c>
      <c r="N124" s="40">
        <f>F124-травень!F124</f>
        <v>1.9899999999999984</v>
      </c>
      <c r="O124" s="53">
        <f t="shared" si="41"/>
        <v>-1.0100000000000016</v>
      </c>
      <c r="P124" s="60">
        <f t="shared" si="42"/>
        <v>66.33333333333327</v>
      </c>
      <c r="Q124" s="60">
        <f>N124-1.6</f>
        <v>0.38999999999999835</v>
      </c>
      <c r="R124" s="138">
        <f>N124/1.6</f>
        <v>1.243749999999999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E125-травень!E125</f>
        <v>0</v>
      </c>
      <c r="N125" s="40">
        <f>F125-травень!F125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E126-травень!E126</f>
        <v>0</v>
      </c>
      <c r="N126" s="40">
        <f>F126-травень!F126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5012.5</v>
      </c>
      <c r="F127" s="33">
        <v>5295.56</v>
      </c>
      <c r="G127" s="49">
        <f aca="true" t="shared" si="43" ref="G127:G134">F127-E127</f>
        <v>283.0600000000004</v>
      </c>
      <c r="H127" s="40">
        <f>F127/E127*100</f>
        <v>105.64708229426434</v>
      </c>
      <c r="I127" s="60">
        <f aca="true" t="shared" si="44" ref="I127:I134">F127-D127</f>
        <v>-3404.4399999999996</v>
      </c>
      <c r="J127" s="60">
        <f>F127/D127*100</f>
        <v>60.86850574712644</v>
      </c>
      <c r="K127" s="60">
        <f>F127-6301.4</f>
        <v>-1005.8399999999992</v>
      </c>
      <c r="L127" s="138">
        <f>F127/6301.4</f>
        <v>0.840378328625385</v>
      </c>
      <c r="M127" s="40">
        <f>E127-травень!E127</f>
        <v>1</v>
      </c>
      <c r="N127" s="40">
        <f>F127-травень!F127</f>
        <v>2.7000000000007276</v>
      </c>
      <c r="O127" s="53">
        <f aca="true" t="shared" si="45" ref="O127:O134">N127-M127</f>
        <v>1.7000000000007276</v>
      </c>
      <c r="P127" s="60">
        <f>N127/M127*100</f>
        <v>270.00000000007276</v>
      </c>
      <c r="Q127" s="60">
        <f>N127-12.3</f>
        <v>-9.599999999999273</v>
      </c>
      <c r="R127" s="162">
        <f>N127/12.3</f>
        <v>0.21951219512201037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F128-(-0.4)</f>
        <v>0.44</v>
      </c>
      <c r="L128" s="138">
        <f>F128/(-0.4)</f>
        <v>-0.09999999999999999</v>
      </c>
      <c r="M128" s="40">
        <f>E128-травень!E128</f>
        <v>0</v>
      </c>
      <c r="N128" s="40">
        <f>F128-травень!F128</f>
        <v>0</v>
      </c>
      <c r="O128" s="53">
        <f t="shared" si="45"/>
        <v>0</v>
      </c>
      <c r="P128" s="60"/>
      <c r="Q128" s="60">
        <f>N128-0.1</f>
        <v>-0.1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5036.86</v>
      </c>
      <c r="F129" s="38">
        <f>F127+F124+F128+F126</f>
        <v>5326.06</v>
      </c>
      <c r="G129" s="62">
        <f t="shared" si="43"/>
        <v>289.2000000000007</v>
      </c>
      <c r="H129" s="72">
        <f>F129/E129*100</f>
        <v>105.7416723911326</v>
      </c>
      <c r="I129" s="61">
        <f t="shared" si="44"/>
        <v>-3424.6400000000003</v>
      </c>
      <c r="J129" s="61">
        <f>F129/D129*100</f>
        <v>60.86438799181779</v>
      </c>
      <c r="K129" s="61">
        <f>F129-6410.2</f>
        <v>-1084.1399999999994</v>
      </c>
      <c r="L129" s="139">
        <f>G129/6410.2</f>
        <v>0.045115597017253865</v>
      </c>
      <c r="M129" s="62">
        <f>M124+M127+M128+M126</f>
        <v>4</v>
      </c>
      <c r="N129" s="62">
        <f>N124+N127+N128+N126</f>
        <v>4.690000000000726</v>
      </c>
      <c r="O129" s="61">
        <f t="shared" si="45"/>
        <v>0.690000000000726</v>
      </c>
      <c r="P129" s="61">
        <f>N129/M129*100</f>
        <v>117.25000000001815</v>
      </c>
      <c r="Q129" s="61">
        <f>N129-14</f>
        <v>-9.309999999999274</v>
      </c>
      <c r="R129" s="137">
        <f>N129/14</f>
        <v>0.33500000000005187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15.65</v>
      </c>
      <c r="F130" s="33">
        <v>15.04</v>
      </c>
      <c r="G130" s="49">
        <f>F130-E130</f>
        <v>-0.6100000000000012</v>
      </c>
      <c r="H130" s="40">
        <f>F130/E130*100</f>
        <v>96.10223642172522</v>
      </c>
      <c r="I130" s="60">
        <f>F130-D130</f>
        <v>-14.96</v>
      </c>
      <c r="J130" s="60">
        <f>F130/D130*100</f>
        <v>50.13333333333333</v>
      </c>
      <c r="K130" s="60">
        <f>F130-16.8</f>
        <v>-1.7600000000000016</v>
      </c>
      <c r="L130" s="138">
        <f>F130/16.8</f>
        <v>0.8952380952380952</v>
      </c>
      <c r="M130" s="40">
        <f>E130-травень!E130</f>
        <v>7</v>
      </c>
      <c r="N130" s="40">
        <f>F130-травень!F130</f>
        <v>1.8899999999999988</v>
      </c>
      <c r="O130" s="53">
        <f>N130-M130</f>
        <v>-5.110000000000001</v>
      </c>
      <c r="P130" s="60">
        <f>N130/M130*100</f>
        <v>26.999999999999986</v>
      </c>
      <c r="Q130" s="60">
        <f>N130-7.5</f>
        <v>-5.610000000000001</v>
      </c>
      <c r="R130" s="138">
        <f>N130/7.5</f>
        <v>0.25199999999999984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E131-травень!E131</f>
        <v>0</v>
      </c>
      <c r="N131" s="40">
        <f>F131-травень!F131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E132-травень!E132</f>
        <v>0</v>
      </c>
      <c r="N132" s="40">
        <f>F132-травень!F132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48558.259999999995</v>
      </c>
      <c r="F133" s="31">
        <f>F116+F130+F123+F129+F132+F131</f>
        <v>48505.63999999999</v>
      </c>
      <c r="G133" s="50">
        <f t="shared" si="43"/>
        <v>-52.62000000000262</v>
      </c>
      <c r="H133" s="51">
        <f>F133/E133*100</f>
        <v>99.891635326307</v>
      </c>
      <c r="I133" s="36">
        <f t="shared" si="44"/>
        <v>-71535.85</v>
      </c>
      <c r="J133" s="36">
        <f>F133/D133*100</f>
        <v>40.4073958095655</v>
      </c>
      <c r="K133" s="36">
        <f>F133-56736.6</f>
        <v>-8230.960000000006</v>
      </c>
      <c r="L133" s="136">
        <f>F133/56736.6</f>
        <v>0.8549268020995264</v>
      </c>
      <c r="M133" s="31">
        <f>M116+M130+M123+M129+M132+M131</f>
        <v>4939.290000000001</v>
      </c>
      <c r="N133" s="31">
        <f>N116+N130+N123+N129+N132+N131</f>
        <v>2865.519999999996</v>
      </c>
      <c r="O133" s="36">
        <f t="shared" si="45"/>
        <v>-2073.770000000005</v>
      </c>
      <c r="P133" s="36">
        <f>N133/M133*100</f>
        <v>58.01481589459204</v>
      </c>
      <c r="Q133" s="36">
        <f>N133-9388.2</f>
        <v>-6522.680000000005</v>
      </c>
      <c r="R133" s="136">
        <f>N133/9388.2</f>
        <v>0.30522570886857925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289268.49</v>
      </c>
      <c r="F134" s="31">
        <f>F106+F133</f>
        <v>268911.1</v>
      </c>
      <c r="G134" s="50">
        <f t="shared" si="43"/>
        <v>-20357.390000000014</v>
      </c>
      <c r="H134" s="51">
        <f>F134/E134*100</f>
        <v>92.9624585104309</v>
      </c>
      <c r="I134" s="36">
        <f t="shared" si="44"/>
        <v>-358009.99</v>
      </c>
      <c r="J134" s="36">
        <f>F134/D134*100</f>
        <v>42.8939310368391</v>
      </c>
      <c r="K134" s="36">
        <f>F134-293840.6</f>
        <v>-24929.5</v>
      </c>
      <c r="L134" s="136">
        <f>F134/293840.6</f>
        <v>0.9151597839100519</v>
      </c>
      <c r="M134" s="22">
        <f>M106+M133</f>
        <v>48038.26</v>
      </c>
      <c r="N134" s="22">
        <f>N106+N133</f>
        <v>33105.77999999999</v>
      </c>
      <c r="O134" s="36">
        <f t="shared" si="45"/>
        <v>-14932.48000000001</v>
      </c>
      <c r="P134" s="36">
        <f>N134/M134*100</f>
        <v>68.91544364845852</v>
      </c>
      <c r="Q134" s="36">
        <f>N134-51803</f>
        <v>-18697.22000000001</v>
      </c>
      <c r="R134" s="136">
        <f>N134/51803</f>
        <v>0.6390707101905293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3</v>
      </c>
      <c r="D136" s="4" t="s">
        <v>118</v>
      </c>
    </row>
    <row r="137" spans="2:17" ht="31.5">
      <c r="B137" s="78" t="s">
        <v>154</v>
      </c>
      <c r="C137" s="39">
        <f>IF(O106&lt;0,ABS(O106/C136),0)</f>
        <v>4286.2366666666685</v>
      </c>
      <c r="D137" s="4" t="s">
        <v>104</v>
      </c>
      <c r="G137" s="180"/>
      <c r="H137" s="180"/>
      <c r="I137" s="180"/>
      <c r="J137" s="18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41814</v>
      </c>
      <c r="D138" s="39">
        <v>1334.9</v>
      </c>
      <c r="N138" s="177"/>
      <c r="O138" s="177"/>
    </row>
    <row r="139" spans="3:15" ht="15.75">
      <c r="C139" s="120">
        <v>41813</v>
      </c>
      <c r="D139" s="39">
        <v>2011.5</v>
      </c>
      <c r="F139" s="4" t="s">
        <v>166</v>
      </c>
      <c r="G139" s="173" t="s">
        <v>151</v>
      </c>
      <c r="H139" s="173"/>
      <c r="I139" s="115">
        <f>'[1]залишки  (2)'!$G$9/1000</f>
        <v>13825.22196</v>
      </c>
      <c r="J139" s="174" t="s">
        <v>161</v>
      </c>
      <c r="K139" s="174"/>
      <c r="L139" s="174"/>
      <c r="M139" s="174"/>
      <c r="N139" s="177"/>
      <c r="O139" s="177"/>
    </row>
    <row r="140" spans="3:15" ht="15.75">
      <c r="C140" s="120">
        <v>41810</v>
      </c>
      <c r="D140" s="39">
        <v>3522.4</v>
      </c>
      <c r="G140" s="175" t="s">
        <v>155</v>
      </c>
      <c r="H140" s="175"/>
      <c r="I140" s="112">
        <v>0</v>
      </c>
      <c r="J140" s="176" t="s">
        <v>162</v>
      </c>
      <c r="K140" s="176"/>
      <c r="L140" s="176"/>
      <c r="M140" s="176"/>
      <c r="N140" s="177"/>
      <c r="O140" s="177"/>
    </row>
    <row r="141" spans="7:13" ht="15.75" customHeight="1">
      <c r="G141" s="173" t="s">
        <v>148</v>
      </c>
      <c r="H141" s="173"/>
      <c r="I141" s="112">
        <f>'[1]залишки  (2)'!$G$8/1000</f>
        <v>0</v>
      </c>
      <c r="J141" s="174" t="s">
        <v>163</v>
      </c>
      <c r="K141" s="174"/>
      <c r="L141" s="174"/>
      <c r="M141" s="174"/>
    </row>
    <row r="142" spans="2:13" ht="18.75" customHeight="1">
      <c r="B142" s="171" t="s">
        <v>160</v>
      </c>
      <c r="C142" s="172"/>
      <c r="D142" s="117">
        <f>'[1]залишки  (2)'!$G$6/1000</f>
        <v>119346.94294</v>
      </c>
      <c r="E142" s="80"/>
      <c r="F142" s="100" t="s">
        <v>147</v>
      </c>
      <c r="G142" s="173" t="s">
        <v>149</v>
      </c>
      <c r="H142" s="173"/>
      <c r="I142" s="116">
        <f>'[1]залишки  (2)'!$G$10/1000</f>
        <v>105521.72097999998</v>
      </c>
      <c r="J142" s="174" t="s">
        <v>164</v>
      </c>
      <c r="K142" s="174"/>
      <c r="L142" s="174"/>
      <c r="M142" s="174"/>
    </row>
    <row r="143" spans="7:12" ht="9.75" customHeight="1">
      <c r="G143" s="167"/>
      <c r="H143" s="167"/>
      <c r="I143" s="98"/>
      <c r="J143" s="99"/>
      <c r="K143" s="99"/>
      <c r="L143" s="99"/>
    </row>
    <row r="144" spans="2:12" ht="22.5" customHeight="1">
      <c r="B144" s="168" t="s">
        <v>169</v>
      </c>
      <c r="C144" s="169"/>
      <c r="D144" s="119">
        <f>'[1]надх'!$B$52/1000</f>
        <v>26277.36133</v>
      </c>
      <c r="E144" s="77" t="s">
        <v>104</v>
      </c>
      <c r="G144" s="167"/>
      <c r="H144" s="167"/>
      <c r="I144" s="98"/>
      <c r="J144" s="99"/>
      <c r="K144" s="99"/>
      <c r="L144" s="99"/>
    </row>
    <row r="145" spans="4:15" ht="15.75">
      <c r="D145" s="114"/>
      <c r="N145" s="167"/>
      <c r="O145" s="167"/>
    </row>
    <row r="146" spans="4:15" ht="15.75">
      <c r="D146" s="113"/>
      <c r="I146" s="39"/>
      <c r="N146" s="170"/>
      <c r="O146" s="170"/>
    </row>
    <row r="147" spans="14:15" ht="15.75">
      <c r="N147" s="167"/>
      <c r="O147" s="167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110" sqref="K11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1" t="s">
        <v>235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197" t="s">
        <v>224</v>
      </c>
      <c r="E3" s="197"/>
      <c r="F3" s="198" t="s">
        <v>107</v>
      </c>
      <c r="G3" s="199"/>
      <c r="H3" s="199"/>
      <c r="I3" s="199"/>
      <c r="J3" s="199"/>
      <c r="K3" s="199"/>
      <c r="L3" s="200"/>
      <c r="M3" s="201" t="s">
        <v>225</v>
      </c>
      <c r="N3" s="203" t="s">
        <v>233</v>
      </c>
      <c r="O3" s="203"/>
      <c r="P3" s="203"/>
      <c r="Q3" s="203"/>
      <c r="R3" s="203"/>
    </row>
    <row r="4" spans="1:18" ht="22.5" customHeight="1">
      <c r="A4" s="193"/>
      <c r="B4" s="195"/>
      <c r="C4" s="196"/>
      <c r="D4" s="197"/>
      <c r="E4" s="197"/>
      <c r="F4" s="204" t="s">
        <v>116</v>
      </c>
      <c r="G4" s="185" t="s">
        <v>229</v>
      </c>
      <c r="H4" s="187" t="s">
        <v>230</v>
      </c>
      <c r="I4" s="183" t="s">
        <v>188</v>
      </c>
      <c r="J4" s="189" t="s">
        <v>189</v>
      </c>
      <c r="K4" s="178" t="s">
        <v>231</v>
      </c>
      <c r="L4" s="179"/>
      <c r="M4" s="202"/>
      <c r="N4" s="181" t="s">
        <v>236</v>
      </c>
      <c r="O4" s="183" t="s">
        <v>136</v>
      </c>
      <c r="P4" s="183" t="s">
        <v>135</v>
      </c>
      <c r="Q4" s="178" t="s">
        <v>234</v>
      </c>
      <c r="R4" s="179"/>
    </row>
    <row r="5" spans="1:18" ht="82.5" customHeight="1">
      <c r="A5" s="194"/>
      <c r="B5" s="195"/>
      <c r="C5" s="196"/>
      <c r="D5" s="150" t="s">
        <v>209</v>
      </c>
      <c r="E5" s="158" t="s">
        <v>228</v>
      </c>
      <c r="F5" s="205"/>
      <c r="G5" s="186"/>
      <c r="H5" s="188"/>
      <c r="I5" s="184"/>
      <c r="J5" s="190"/>
      <c r="K5" s="165"/>
      <c r="L5" s="166"/>
      <c r="M5" s="151" t="s">
        <v>232</v>
      </c>
      <c r="N5" s="182"/>
      <c r="O5" s="184"/>
      <c r="P5" s="184"/>
      <c r="Q5" s="165"/>
      <c r="R5" s="166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291.2</v>
      </c>
      <c r="G102" s="144"/>
      <c r="H102" s="146"/>
      <c r="I102" s="145"/>
      <c r="J102" s="145"/>
      <c r="K102" s="148">
        <f>F102-184.7</f>
        <v>106.5</v>
      </c>
      <c r="L102" s="149">
        <f>F102/184.7</f>
        <v>1.576610720086627</v>
      </c>
      <c r="M102" s="40">
        <f>E102-квітень!E102</f>
        <v>0</v>
      </c>
      <c r="N102" s="40">
        <f>F102-квітень!F102</f>
        <v>55.79999999999998</v>
      </c>
      <c r="O102" s="53"/>
      <c r="P102" s="60"/>
      <c r="Q102" s="60">
        <f>N102-45.1</f>
        <v>10.699999999999982</v>
      </c>
      <c r="R102" s="138">
        <f>N102/45.1</f>
        <v>1.2372505543237247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80"/>
      <c r="H137" s="180"/>
      <c r="I137" s="180"/>
      <c r="J137" s="18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77"/>
      <c r="O138" s="177"/>
    </row>
    <row r="139" spans="3:15" ht="15.75">
      <c r="C139" s="120">
        <v>41788</v>
      </c>
      <c r="D139" s="39">
        <v>5993.3</v>
      </c>
      <c r="F139" s="4" t="s">
        <v>166</v>
      </c>
      <c r="G139" s="173" t="s">
        <v>151</v>
      </c>
      <c r="H139" s="173"/>
      <c r="I139" s="115">
        <v>13825.22196</v>
      </c>
      <c r="J139" s="174" t="s">
        <v>161</v>
      </c>
      <c r="K139" s="174"/>
      <c r="L139" s="174"/>
      <c r="M139" s="174"/>
      <c r="N139" s="177"/>
      <c r="O139" s="177"/>
    </row>
    <row r="140" spans="3:15" ht="15.75">
      <c r="C140" s="120">
        <v>41787</v>
      </c>
      <c r="D140" s="39">
        <v>2595.2</v>
      </c>
      <c r="G140" s="175" t="s">
        <v>155</v>
      </c>
      <c r="H140" s="175"/>
      <c r="I140" s="112">
        <v>0</v>
      </c>
      <c r="J140" s="176" t="s">
        <v>162</v>
      </c>
      <c r="K140" s="176"/>
      <c r="L140" s="176"/>
      <c r="M140" s="176"/>
      <c r="N140" s="177"/>
      <c r="O140" s="177"/>
    </row>
    <row r="141" spans="7:13" ht="15.75" customHeight="1">
      <c r="G141" s="173" t="s">
        <v>148</v>
      </c>
      <c r="H141" s="173"/>
      <c r="I141" s="112">
        <v>0</v>
      </c>
      <c r="J141" s="174" t="s">
        <v>163</v>
      </c>
      <c r="K141" s="174"/>
      <c r="L141" s="174"/>
      <c r="M141" s="174"/>
    </row>
    <row r="142" spans="2:13" ht="18.75" customHeight="1">
      <c r="B142" s="171" t="s">
        <v>160</v>
      </c>
      <c r="C142" s="172"/>
      <c r="D142" s="117">
        <v>118982.48</v>
      </c>
      <c r="E142" s="80"/>
      <c r="F142" s="100" t="s">
        <v>147</v>
      </c>
      <c r="G142" s="173" t="s">
        <v>149</v>
      </c>
      <c r="H142" s="173"/>
      <c r="I142" s="116">
        <v>105157.26</v>
      </c>
      <c r="J142" s="174" t="s">
        <v>164</v>
      </c>
      <c r="K142" s="174"/>
      <c r="L142" s="174"/>
      <c r="M142" s="174"/>
    </row>
    <row r="143" spans="7:12" ht="9.75" customHeight="1">
      <c r="G143" s="167"/>
      <c r="H143" s="167"/>
      <c r="I143" s="98"/>
      <c r="J143" s="99"/>
      <c r="K143" s="99"/>
      <c r="L143" s="99"/>
    </row>
    <row r="144" spans="2:12" ht="22.5" customHeight="1">
      <c r="B144" s="168" t="s">
        <v>169</v>
      </c>
      <c r="C144" s="169"/>
      <c r="D144" s="119">
        <v>27359.4</v>
      </c>
      <c r="E144" s="77" t="s">
        <v>104</v>
      </c>
      <c r="G144" s="167"/>
      <c r="H144" s="167"/>
      <c r="I144" s="98"/>
      <c r="J144" s="99"/>
      <c r="K144" s="99"/>
      <c r="L144" s="99"/>
    </row>
    <row r="145" spans="4:15" ht="15.75">
      <c r="D145" s="114"/>
      <c r="N145" s="167"/>
      <c r="O145" s="167"/>
    </row>
    <row r="146" spans="4:15" ht="15.75">
      <c r="D146" s="113"/>
      <c r="I146" s="39"/>
      <c r="N146" s="170"/>
      <c r="O146" s="170"/>
    </row>
    <row r="147" spans="14:15" ht="15.75">
      <c r="N147" s="167"/>
      <c r="O147" s="167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11" sqref="G11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1" t="s">
        <v>226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197" t="s">
        <v>224</v>
      </c>
      <c r="E3" s="197"/>
      <c r="F3" s="198" t="s">
        <v>107</v>
      </c>
      <c r="G3" s="199"/>
      <c r="H3" s="199"/>
      <c r="I3" s="199"/>
      <c r="J3" s="199"/>
      <c r="K3" s="199"/>
      <c r="L3" s="200"/>
      <c r="M3" s="201" t="s">
        <v>225</v>
      </c>
      <c r="N3" s="203" t="s">
        <v>221</v>
      </c>
      <c r="O3" s="203"/>
      <c r="P3" s="203"/>
      <c r="Q3" s="203"/>
      <c r="R3" s="203"/>
    </row>
    <row r="4" spans="1:18" ht="22.5" customHeight="1">
      <c r="A4" s="193"/>
      <c r="B4" s="195"/>
      <c r="C4" s="196"/>
      <c r="D4" s="197"/>
      <c r="E4" s="197"/>
      <c r="F4" s="204" t="s">
        <v>116</v>
      </c>
      <c r="G4" s="185" t="s">
        <v>217</v>
      </c>
      <c r="H4" s="187" t="s">
        <v>218</v>
      </c>
      <c r="I4" s="183" t="s">
        <v>188</v>
      </c>
      <c r="J4" s="189" t="s">
        <v>189</v>
      </c>
      <c r="K4" s="178" t="s">
        <v>219</v>
      </c>
      <c r="L4" s="179"/>
      <c r="M4" s="202"/>
      <c r="N4" s="181" t="s">
        <v>227</v>
      </c>
      <c r="O4" s="183" t="s">
        <v>136</v>
      </c>
      <c r="P4" s="183" t="s">
        <v>135</v>
      </c>
      <c r="Q4" s="178" t="s">
        <v>222</v>
      </c>
      <c r="R4" s="179"/>
    </row>
    <row r="5" spans="1:18" ht="82.5" customHeight="1">
      <c r="A5" s="194"/>
      <c r="B5" s="195"/>
      <c r="C5" s="196"/>
      <c r="D5" s="150" t="s">
        <v>209</v>
      </c>
      <c r="E5" s="158" t="s">
        <v>216</v>
      </c>
      <c r="F5" s="205"/>
      <c r="G5" s="186"/>
      <c r="H5" s="188"/>
      <c r="I5" s="184"/>
      <c r="J5" s="190"/>
      <c r="K5" s="165"/>
      <c r="L5" s="166"/>
      <c r="M5" s="151" t="s">
        <v>220</v>
      </c>
      <c r="N5" s="182"/>
      <c r="O5" s="184"/>
      <c r="P5" s="184"/>
      <c r="Q5" s="165"/>
      <c r="R5" s="166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235.4</v>
      </c>
      <c r="G102" s="144"/>
      <c r="H102" s="146"/>
      <c r="I102" s="145"/>
      <c r="J102" s="145"/>
      <c r="K102" s="148">
        <f>F102-139.6</f>
        <v>95.80000000000001</v>
      </c>
      <c r="L102" s="149">
        <f>F102/139.6</f>
        <v>1.686246418338109</v>
      </c>
      <c r="M102" s="40">
        <f>E102-березень!E102</f>
        <v>0</v>
      </c>
      <c r="N102" s="40">
        <f>F102-березень!F102</f>
        <v>62.80000000000001</v>
      </c>
      <c r="O102" s="53"/>
      <c r="P102" s="60"/>
      <c r="Q102" s="60">
        <f>N102-51</f>
        <v>11.800000000000011</v>
      </c>
      <c r="R102" s="138">
        <f>N102/51</f>
        <v>1.2313725490196081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0"/>
      <c r="H137" s="180"/>
      <c r="I137" s="180"/>
      <c r="J137" s="18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77"/>
      <c r="O138" s="177"/>
    </row>
    <row r="139" spans="3:15" ht="15.75">
      <c r="C139" s="120">
        <v>41758</v>
      </c>
      <c r="D139" s="39">
        <v>5440.9</v>
      </c>
      <c r="F139" s="4" t="s">
        <v>166</v>
      </c>
      <c r="G139" s="173" t="s">
        <v>151</v>
      </c>
      <c r="H139" s="173"/>
      <c r="I139" s="115">
        <v>13825.22</v>
      </c>
      <c r="J139" s="174" t="s">
        <v>161</v>
      </c>
      <c r="K139" s="174"/>
      <c r="L139" s="174"/>
      <c r="M139" s="174"/>
      <c r="N139" s="177"/>
      <c r="O139" s="177"/>
    </row>
    <row r="140" spans="3:15" ht="15.75">
      <c r="C140" s="120">
        <v>41757</v>
      </c>
      <c r="D140" s="39">
        <v>1923.2</v>
      </c>
      <c r="G140" s="175" t="s">
        <v>155</v>
      </c>
      <c r="H140" s="175"/>
      <c r="I140" s="112">
        <v>0</v>
      </c>
      <c r="J140" s="176" t="s">
        <v>162</v>
      </c>
      <c r="K140" s="176"/>
      <c r="L140" s="176"/>
      <c r="M140" s="176"/>
      <c r="N140" s="177"/>
      <c r="O140" s="177"/>
    </row>
    <row r="141" spans="7:13" ht="15.75" customHeight="1">
      <c r="G141" s="173" t="s">
        <v>148</v>
      </c>
      <c r="H141" s="173"/>
      <c r="I141" s="112">
        <v>0</v>
      </c>
      <c r="J141" s="174" t="s">
        <v>163</v>
      </c>
      <c r="K141" s="174"/>
      <c r="L141" s="174"/>
      <c r="M141" s="174"/>
    </row>
    <row r="142" spans="2:13" ht="18.75" customHeight="1">
      <c r="B142" s="171" t="s">
        <v>160</v>
      </c>
      <c r="C142" s="172"/>
      <c r="D142" s="117">
        <v>123251.48</v>
      </c>
      <c r="E142" s="80"/>
      <c r="F142" s="100" t="s">
        <v>147</v>
      </c>
      <c r="G142" s="173" t="s">
        <v>149</v>
      </c>
      <c r="H142" s="173"/>
      <c r="I142" s="116">
        <v>109426.25</v>
      </c>
      <c r="J142" s="174" t="s">
        <v>164</v>
      </c>
      <c r="K142" s="174"/>
      <c r="L142" s="174"/>
      <c r="M142" s="174"/>
    </row>
    <row r="143" spans="7:12" ht="9.75" customHeight="1">
      <c r="G143" s="167"/>
      <c r="H143" s="167"/>
      <c r="I143" s="98"/>
      <c r="J143" s="99"/>
      <c r="K143" s="99"/>
      <c r="L143" s="99"/>
    </row>
    <row r="144" spans="2:12" ht="22.5" customHeight="1">
      <c r="B144" s="168" t="s">
        <v>169</v>
      </c>
      <c r="C144" s="169"/>
      <c r="D144" s="119">
        <f>'[1]надх'!$B$52/1000</f>
        <v>26277.36133</v>
      </c>
      <c r="E144" s="77" t="s">
        <v>104</v>
      </c>
      <c r="G144" s="167"/>
      <c r="H144" s="167"/>
      <c r="I144" s="98"/>
      <c r="J144" s="99"/>
      <c r="K144" s="99"/>
      <c r="L144" s="99"/>
    </row>
    <row r="145" spans="4:15" ht="15.75">
      <c r="D145" s="114"/>
      <c r="N145" s="167"/>
      <c r="O145" s="167"/>
    </row>
    <row r="146" spans="4:15" ht="15.75">
      <c r="D146" s="113"/>
      <c r="I146" s="39"/>
      <c r="N146" s="170"/>
      <c r="O146" s="170"/>
    </row>
    <row r="147" spans="14:15" ht="15.75">
      <c r="N147" s="167"/>
      <c r="O147" s="167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91" t="s">
        <v>212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197" t="s">
        <v>208</v>
      </c>
      <c r="E3" s="197"/>
      <c r="F3" s="198" t="s">
        <v>107</v>
      </c>
      <c r="G3" s="199"/>
      <c r="H3" s="199"/>
      <c r="I3" s="199"/>
      <c r="J3" s="199"/>
      <c r="K3" s="199"/>
      <c r="L3" s="200"/>
      <c r="M3" s="201" t="s">
        <v>210</v>
      </c>
      <c r="N3" s="203" t="s">
        <v>198</v>
      </c>
      <c r="O3" s="203"/>
      <c r="P3" s="203"/>
      <c r="Q3" s="203"/>
      <c r="R3" s="203"/>
    </row>
    <row r="4" spans="1:18" ht="22.5" customHeight="1">
      <c r="A4" s="193"/>
      <c r="B4" s="195"/>
      <c r="C4" s="196"/>
      <c r="D4" s="197"/>
      <c r="E4" s="197"/>
      <c r="F4" s="204" t="s">
        <v>116</v>
      </c>
      <c r="G4" s="185" t="s">
        <v>207</v>
      </c>
      <c r="H4" s="187" t="s">
        <v>195</v>
      </c>
      <c r="I4" s="183" t="s">
        <v>188</v>
      </c>
      <c r="J4" s="189" t="s">
        <v>189</v>
      </c>
      <c r="K4" s="178" t="s">
        <v>196</v>
      </c>
      <c r="L4" s="179"/>
      <c r="M4" s="202"/>
      <c r="N4" s="181" t="s">
        <v>213</v>
      </c>
      <c r="O4" s="183" t="s">
        <v>136</v>
      </c>
      <c r="P4" s="183" t="s">
        <v>135</v>
      </c>
      <c r="Q4" s="178" t="s">
        <v>197</v>
      </c>
      <c r="R4" s="179"/>
    </row>
    <row r="5" spans="1:18" ht="82.5" customHeight="1">
      <c r="A5" s="194"/>
      <c r="B5" s="195"/>
      <c r="C5" s="196"/>
      <c r="D5" s="150" t="s">
        <v>209</v>
      </c>
      <c r="E5" s="158" t="s">
        <v>214</v>
      </c>
      <c r="F5" s="205"/>
      <c r="G5" s="186"/>
      <c r="H5" s="188"/>
      <c r="I5" s="184"/>
      <c r="J5" s="190"/>
      <c r="K5" s="165"/>
      <c r="L5" s="166"/>
      <c r="M5" s="151" t="s">
        <v>211</v>
      </c>
      <c r="N5" s="182"/>
      <c r="O5" s="184"/>
      <c r="P5" s="184"/>
      <c r="Q5" s="165"/>
      <c r="R5" s="166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172.6</v>
      </c>
      <c r="G102" s="144"/>
      <c r="H102" s="146"/>
      <c r="I102" s="145"/>
      <c r="J102" s="145"/>
      <c r="K102" s="148">
        <f>F102-88.6</f>
        <v>84</v>
      </c>
      <c r="L102" s="149">
        <f>F102/88.6</f>
        <v>1.9480812641083523</v>
      </c>
      <c r="M102" s="40">
        <f>E102-лютий!E102</f>
        <v>0</v>
      </c>
      <c r="N102" s="40">
        <f>F102-лютий!F102</f>
        <v>42.5</v>
      </c>
      <c r="O102" s="53"/>
      <c r="P102" s="60"/>
      <c r="Q102" s="60">
        <f>N102-31.4</f>
        <v>11.100000000000001</v>
      </c>
      <c r="R102" s="135">
        <f>N102/31.4</f>
        <v>1.3535031847133758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0"/>
      <c r="H137" s="180"/>
      <c r="I137" s="180"/>
      <c r="J137" s="18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77"/>
      <c r="O138" s="177"/>
    </row>
    <row r="139" spans="3:15" ht="15.75">
      <c r="C139" s="120">
        <v>41726</v>
      </c>
      <c r="D139" s="39">
        <v>4682.6</v>
      </c>
      <c r="F139" s="4" t="s">
        <v>166</v>
      </c>
      <c r="G139" s="173" t="s">
        <v>151</v>
      </c>
      <c r="H139" s="173"/>
      <c r="I139" s="115">
        <v>13825.22196</v>
      </c>
      <c r="J139" s="174" t="s">
        <v>161</v>
      </c>
      <c r="K139" s="174"/>
      <c r="L139" s="174"/>
      <c r="M139" s="174"/>
      <c r="N139" s="177"/>
      <c r="O139" s="177"/>
    </row>
    <row r="140" spans="3:15" ht="15.75">
      <c r="C140" s="120">
        <v>41725</v>
      </c>
      <c r="D140" s="39">
        <v>3360.7</v>
      </c>
      <c r="G140" s="175" t="s">
        <v>155</v>
      </c>
      <c r="H140" s="175"/>
      <c r="I140" s="112">
        <v>0</v>
      </c>
      <c r="J140" s="176" t="s">
        <v>162</v>
      </c>
      <c r="K140" s="176"/>
      <c r="L140" s="176"/>
      <c r="M140" s="176"/>
      <c r="N140" s="177"/>
      <c r="O140" s="177"/>
    </row>
    <row r="141" spans="7:13" ht="15.75" customHeight="1">
      <c r="G141" s="173" t="s">
        <v>148</v>
      </c>
      <c r="H141" s="173"/>
      <c r="I141" s="112">
        <v>0</v>
      </c>
      <c r="J141" s="174" t="s">
        <v>163</v>
      </c>
      <c r="K141" s="174"/>
      <c r="L141" s="174"/>
      <c r="M141" s="174"/>
    </row>
    <row r="142" spans="2:13" ht="18.75" customHeight="1">
      <c r="B142" s="171" t="s">
        <v>160</v>
      </c>
      <c r="C142" s="172"/>
      <c r="D142" s="117">
        <v>114985.02570999999</v>
      </c>
      <c r="E142" s="80"/>
      <c r="F142" s="100" t="s">
        <v>147</v>
      </c>
      <c r="G142" s="173" t="s">
        <v>149</v>
      </c>
      <c r="H142" s="173"/>
      <c r="I142" s="116">
        <v>101159.80375</v>
      </c>
      <c r="J142" s="174" t="s">
        <v>164</v>
      </c>
      <c r="K142" s="174"/>
      <c r="L142" s="174"/>
      <c r="M142" s="174"/>
    </row>
    <row r="143" spans="7:12" ht="9.75" customHeight="1">
      <c r="G143" s="167"/>
      <c r="H143" s="167"/>
      <c r="I143" s="98"/>
      <c r="J143" s="99"/>
      <c r="K143" s="99"/>
      <c r="L143" s="99"/>
    </row>
    <row r="144" spans="2:12" ht="22.5" customHeight="1">
      <c r="B144" s="168" t="s">
        <v>169</v>
      </c>
      <c r="C144" s="169"/>
      <c r="D144" s="119">
        <v>3918.1</v>
      </c>
      <c r="E144" s="77" t="s">
        <v>104</v>
      </c>
      <c r="G144" s="167"/>
      <c r="H144" s="167"/>
      <c r="I144" s="98"/>
      <c r="J144" s="99"/>
      <c r="K144" s="99"/>
      <c r="L144" s="99"/>
    </row>
    <row r="145" spans="4:15" ht="15.75">
      <c r="D145" s="114"/>
      <c r="N145" s="167"/>
      <c r="O145" s="167"/>
    </row>
    <row r="146" spans="4:15" ht="15.75">
      <c r="D146" s="113"/>
      <c r="I146" s="39"/>
      <c r="N146" s="170"/>
      <c r="O146" s="170"/>
    </row>
    <row r="147" spans="14:15" ht="15.75">
      <c r="N147" s="167"/>
      <c r="O147" s="167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22" sqref="E1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91" t="s">
        <v>193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215" t="s">
        <v>187</v>
      </c>
      <c r="E3" s="46"/>
      <c r="F3" s="216" t="s">
        <v>107</v>
      </c>
      <c r="G3" s="217"/>
      <c r="H3" s="217"/>
      <c r="I3" s="217"/>
      <c r="J3" s="218"/>
      <c r="K3" s="123"/>
      <c r="L3" s="123"/>
      <c r="M3" s="219" t="s">
        <v>190</v>
      </c>
      <c r="N3" s="210" t="s">
        <v>185</v>
      </c>
      <c r="O3" s="210"/>
      <c r="P3" s="210"/>
      <c r="Q3" s="210"/>
      <c r="R3" s="210"/>
    </row>
    <row r="4" spans="1:18" ht="22.5" customHeight="1">
      <c r="A4" s="193"/>
      <c r="B4" s="195"/>
      <c r="C4" s="196"/>
      <c r="D4" s="215"/>
      <c r="E4" s="220" t="s">
        <v>191</v>
      </c>
      <c r="F4" s="211" t="s">
        <v>116</v>
      </c>
      <c r="G4" s="213" t="s">
        <v>167</v>
      </c>
      <c r="H4" s="187" t="s">
        <v>168</v>
      </c>
      <c r="I4" s="208" t="s">
        <v>188</v>
      </c>
      <c r="J4" s="206" t="s">
        <v>189</v>
      </c>
      <c r="K4" s="125" t="s">
        <v>174</v>
      </c>
      <c r="L4" s="130" t="s">
        <v>173</v>
      </c>
      <c r="M4" s="219"/>
      <c r="N4" s="181" t="s">
        <v>194</v>
      </c>
      <c r="O4" s="208" t="s">
        <v>136</v>
      </c>
      <c r="P4" s="210" t="s">
        <v>135</v>
      </c>
      <c r="Q4" s="131" t="s">
        <v>174</v>
      </c>
      <c r="R4" s="132" t="s">
        <v>173</v>
      </c>
    </row>
    <row r="5" spans="1:18" ht="82.5" customHeight="1">
      <c r="A5" s="194"/>
      <c r="B5" s="195"/>
      <c r="C5" s="196"/>
      <c r="D5" s="215"/>
      <c r="E5" s="221"/>
      <c r="F5" s="212"/>
      <c r="G5" s="214"/>
      <c r="H5" s="188"/>
      <c r="I5" s="209"/>
      <c r="J5" s="207"/>
      <c r="K5" s="165" t="s">
        <v>184</v>
      </c>
      <c r="L5" s="166"/>
      <c r="M5" s="219"/>
      <c r="N5" s="182"/>
      <c r="O5" s="209"/>
      <c r="P5" s="210"/>
      <c r="Q5" s="165" t="s">
        <v>199</v>
      </c>
      <c r="R5" s="166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65.19999999999999</v>
      </c>
      <c r="O102" s="53"/>
      <c r="P102" s="60"/>
      <c r="Q102" s="60">
        <f>N102-26.6</f>
        <v>38.59999999999999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0"/>
      <c r="H137" s="180"/>
      <c r="I137" s="180"/>
      <c r="J137" s="18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77"/>
      <c r="O138" s="177"/>
    </row>
    <row r="139" spans="3:15" ht="15.75">
      <c r="C139" s="120">
        <v>41697</v>
      </c>
      <c r="D139" s="39">
        <v>2276.8</v>
      </c>
      <c r="F139" s="4" t="s">
        <v>166</v>
      </c>
      <c r="G139" s="173" t="s">
        <v>151</v>
      </c>
      <c r="H139" s="173"/>
      <c r="I139" s="115">
        <v>13825.22</v>
      </c>
      <c r="J139" s="174" t="s">
        <v>161</v>
      </c>
      <c r="K139" s="174"/>
      <c r="L139" s="174"/>
      <c r="M139" s="174"/>
      <c r="N139" s="177"/>
      <c r="O139" s="177"/>
    </row>
    <row r="140" spans="3:15" ht="15.75">
      <c r="C140" s="120">
        <v>41696</v>
      </c>
      <c r="D140" s="39">
        <v>3746.1</v>
      </c>
      <c r="G140" s="175" t="s">
        <v>155</v>
      </c>
      <c r="H140" s="175"/>
      <c r="I140" s="112">
        <v>0</v>
      </c>
      <c r="J140" s="176" t="s">
        <v>162</v>
      </c>
      <c r="K140" s="176"/>
      <c r="L140" s="176"/>
      <c r="M140" s="176"/>
      <c r="N140" s="177"/>
      <c r="O140" s="177"/>
    </row>
    <row r="141" spans="7:13" ht="15.75" customHeight="1">
      <c r="G141" s="173" t="s">
        <v>148</v>
      </c>
      <c r="H141" s="173"/>
      <c r="I141" s="112">
        <f>'[1]залишки  (2)'!$G$8/1000</f>
        <v>0</v>
      </c>
      <c r="J141" s="174" t="s">
        <v>163</v>
      </c>
      <c r="K141" s="174"/>
      <c r="L141" s="174"/>
      <c r="M141" s="174"/>
    </row>
    <row r="142" spans="2:13" ht="18.75" customHeight="1">
      <c r="B142" s="171" t="s">
        <v>160</v>
      </c>
      <c r="C142" s="172"/>
      <c r="D142" s="117">
        <v>121970.53</v>
      </c>
      <c r="E142" s="80"/>
      <c r="F142" s="100" t="s">
        <v>147</v>
      </c>
      <c r="G142" s="173" t="s">
        <v>149</v>
      </c>
      <c r="H142" s="173"/>
      <c r="I142" s="116">
        <v>108145.31</v>
      </c>
      <c r="J142" s="174" t="s">
        <v>164</v>
      </c>
      <c r="K142" s="174"/>
      <c r="L142" s="174"/>
      <c r="M142" s="174"/>
    </row>
    <row r="143" spans="7:12" ht="9.75" customHeight="1">
      <c r="G143" s="167"/>
      <c r="H143" s="167"/>
      <c r="I143" s="98"/>
      <c r="J143" s="99"/>
      <c r="K143" s="99"/>
      <c r="L143" s="99"/>
    </row>
    <row r="144" spans="2:12" ht="22.5" customHeight="1">
      <c r="B144" s="168" t="s">
        <v>169</v>
      </c>
      <c r="C144" s="169"/>
      <c r="D144" s="119">
        <v>0</v>
      </c>
      <c r="E144" s="77" t="s">
        <v>104</v>
      </c>
      <c r="G144" s="167"/>
      <c r="H144" s="167"/>
      <c r="I144" s="98"/>
      <c r="J144" s="99"/>
      <c r="K144" s="99"/>
      <c r="L144" s="99"/>
    </row>
    <row r="145" spans="4:15" ht="15.75">
      <c r="D145" s="114"/>
      <c r="N145" s="167"/>
      <c r="O145" s="167"/>
    </row>
    <row r="146" spans="4:15" ht="15.75">
      <c r="D146" s="113"/>
      <c r="I146" s="39"/>
      <c r="N146" s="170"/>
      <c r="O146" s="170"/>
    </row>
    <row r="147" spans="14:15" ht="15.75">
      <c r="N147" s="167"/>
      <c r="O147" s="167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91" t="s">
        <v>183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215" t="s">
        <v>192</v>
      </c>
      <c r="E3" s="46"/>
      <c r="F3" s="216" t="s">
        <v>107</v>
      </c>
      <c r="G3" s="217"/>
      <c r="H3" s="217"/>
      <c r="I3" s="217"/>
      <c r="J3" s="218"/>
      <c r="K3" s="123"/>
      <c r="L3" s="123"/>
      <c r="M3" s="189" t="s">
        <v>200</v>
      </c>
      <c r="N3" s="210" t="s">
        <v>178</v>
      </c>
      <c r="O3" s="210"/>
      <c r="P3" s="210"/>
      <c r="Q3" s="210"/>
      <c r="R3" s="210"/>
    </row>
    <row r="4" spans="1:18" ht="22.5" customHeight="1">
      <c r="A4" s="193"/>
      <c r="B4" s="195"/>
      <c r="C4" s="196"/>
      <c r="D4" s="215"/>
      <c r="E4" s="220" t="s">
        <v>153</v>
      </c>
      <c r="F4" s="211" t="s">
        <v>116</v>
      </c>
      <c r="G4" s="213" t="s">
        <v>175</v>
      </c>
      <c r="H4" s="187" t="s">
        <v>176</v>
      </c>
      <c r="I4" s="208" t="s">
        <v>188</v>
      </c>
      <c r="J4" s="206" t="s">
        <v>189</v>
      </c>
      <c r="K4" s="125" t="s">
        <v>174</v>
      </c>
      <c r="L4" s="130" t="s">
        <v>173</v>
      </c>
      <c r="M4" s="222"/>
      <c r="N4" s="181" t="s">
        <v>186</v>
      </c>
      <c r="O4" s="208" t="s">
        <v>136</v>
      </c>
      <c r="P4" s="210" t="s">
        <v>135</v>
      </c>
      <c r="Q4" s="131" t="s">
        <v>174</v>
      </c>
      <c r="R4" s="132" t="s">
        <v>173</v>
      </c>
    </row>
    <row r="5" spans="1:18" ht="82.5" customHeight="1">
      <c r="A5" s="194"/>
      <c r="B5" s="195"/>
      <c r="C5" s="196"/>
      <c r="D5" s="215"/>
      <c r="E5" s="221"/>
      <c r="F5" s="212"/>
      <c r="G5" s="214"/>
      <c r="H5" s="188"/>
      <c r="I5" s="209"/>
      <c r="J5" s="207"/>
      <c r="K5" s="165" t="s">
        <v>177</v>
      </c>
      <c r="L5" s="166"/>
      <c r="M5" s="190"/>
      <c r="N5" s="182"/>
      <c r="O5" s="209"/>
      <c r="P5" s="210"/>
      <c r="Q5" s="165" t="s">
        <v>179</v>
      </c>
      <c r="R5" s="166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</v>
      </c>
      <c r="G102" s="144"/>
      <c r="H102" s="146"/>
      <c r="I102" s="145"/>
      <c r="J102" s="145"/>
      <c r="K102" s="145">
        <f>F102-30.6</f>
        <v>34.300000000000004</v>
      </c>
      <c r="L102" s="148">
        <f>F102/30.6*100</f>
        <v>212.09150326797385</v>
      </c>
      <c r="M102" s="40">
        <f t="shared" si="39"/>
        <v>0</v>
      </c>
      <c r="N102" s="40">
        <f t="shared" si="40"/>
        <v>64.9</v>
      </c>
      <c r="O102" s="53"/>
      <c r="P102" s="56"/>
      <c r="Q102" s="56">
        <f>N102-30.6</f>
        <v>34.300000000000004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0"/>
      <c r="H137" s="180"/>
      <c r="I137" s="180"/>
      <c r="J137" s="18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77"/>
      <c r="O138" s="177"/>
    </row>
    <row r="139" spans="3:15" ht="15.75">
      <c r="C139" s="120">
        <v>41669</v>
      </c>
      <c r="D139" s="39">
        <v>4752.2</v>
      </c>
      <c r="F139" s="4" t="s">
        <v>166</v>
      </c>
      <c r="G139" s="173" t="s">
        <v>151</v>
      </c>
      <c r="H139" s="173"/>
      <c r="I139" s="115">
        <v>13825.22</v>
      </c>
      <c r="J139" s="174" t="s">
        <v>161</v>
      </c>
      <c r="K139" s="174"/>
      <c r="L139" s="174"/>
      <c r="M139" s="174"/>
      <c r="N139" s="177"/>
      <c r="O139" s="177"/>
    </row>
    <row r="140" spans="3:15" ht="15.75">
      <c r="C140" s="120">
        <v>41668</v>
      </c>
      <c r="D140" s="39">
        <v>1984.7</v>
      </c>
      <c r="G140" s="175" t="s">
        <v>155</v>
      </c>
      <c r="H140" s="175"/>
      <c r="I140" s="112">
        <v>0</v>
      </c>
      <c r="J140" s="176" t="s">
        <v>162</v>
      </c>
      <c r="K140" s="176"/>
      <c r="L140" s="176"/>
      <c r="M140" s="176"/>
      <c r="N140" s="177"/>
      <c r="O140" s="177"/>
    </row>
    <row r="141" spans="7:13" ht="15.75" customHeight="1">
      <c r="G141" s="173" t="s">
        <v>148</v>
      </c>
      <c r="H141" s="173"/>
      <c r="I141" s="112">
        <v>0</v>
      </c>
      <c r="J141" s="174" t="s">
        <v>163</v>
      </c>
      <c r="K141" s="174"/>
      <c r="L141" s="174"/>
      <c r="M141" s="174"/>
    </row>
    <row r="142" spans="2:13" ht="18.75" customHeight="1">
      <c r="B142" s="171" t="s">
        <v>160</v>
      </c>
      <c r="C142" s="172"/>
      <c r="D142" s="117">
        <v>111410.62</v>
      </c>
      <c r="E142" s="80"/>
      <c r="F142" s="100" t="s">
        <v>147</v>
      </c>
      <c r="G142" s="173" t="s">
        <v>149</v>
      </c>
      <c r="H142" s="173"/>
      <c r="I142" s="116">
        <v>97585.4</v>
      </c>
      <c r="J142" s="174" t="s">
        <v>164</v>
      </c>
      <c r="K142" s="174"/>
      <c r="L142" s="174"/>
      <c r="M142" s="174"/>
    </row>
    <row r="143" spans="7:12" ht="9.75" customHeight="1">
      <c r="G143" s="167"/>
      <c r="H143" s="167"/>
      <c r="I143" s="98"/>
      <c r="J143" s="99"/>
      <c r="K143" s="99"/>
      <c r="L143" s="99"/>
    </row>
    <row r="144" spans="2:12" ht="22.5" customHeight="1">
      <c r="B144" s="168" t="s">
        <v>169</v>
      </c>
      <c r="C144" s="169"/>
      <c r="D144" s="119">
        <v>0</v>
      </c>
      <c r="E144" s="77" t="s">
        <v>104</v>
      </c>
      <c r="G144" s="167"/>
      <c r="H144" s="167"/>
      <c r="I144" s="98"/>
      <c r="J144" s="99"/>
      <c r="K144" s="99"/>
      <c r="L144" s="99"/>
    </row>
    <row r="145" spans="4:15" ht="15.75">
      <c r="D145" s="114"/>
      <c r="N145" s="167"/>
      <c r="O145" s="167"/>
    </row>
    <row r="146" spans="4:15" ht="15.75">
      <c r="D146" s="113"/>
      <c r="I146" s="39"/>
      <c r="N146" s="170"/>
      <c r="O146" s="170"/>
    </row>
    <row r="147" spans="14:15" ht="15.75">
      <c r="N147" s="167"/>
      <c r="O147" s="167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2014-06-25T09:10:39Z</cp:lastPrinted>
  <dcterms:created xsi:type="dcterms:W3CDTF">2003-07-28T11:27:56Z</dcterms:created>
  <dcterms:modified xsi:type="dcterms:W3CDTF">2014-06-25T09:11:04Z</dcterms:modified>
  <cp:category/>
  <cp:version/>
  <cp:contentType/>
  <cp:contentStatus/>
</cp:coreProperties>
</file>